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activeX/activeX9.xml" ContentType="application/vnd.ms-office.activeX+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Override PartName="/xl/worksheets/sheet6.xml" ContentType="application/vnd.openxmlformats-officedocument.spreadsheetml.worksheet+xml"/>
  <Override PartName="/xl/worksheets/sheet7.xml" ContentType="application/vnd.openxmlformats-officedocument.spreadsheetml.worksheet+xml"/>
  <Override PartName="/xl/activeX/activeX5.xml" ContentType="application/vnd.ms-office.activeX+xml"/>
  <Override PartName="/xl/activeX/activeX6.xml" ContentType="application/vnd.ms-office.activeX+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8915" windowHeight="11820" firstSheet="1" activeTab="1"/>
  </bookViews>
  <sheets>
    <sheet name="1-Mann-Büro" sheetId="3" r:id="rId1"/>
    <sheet name="Stundensatzrechner" sheetId="2" r:id="rId2"/>
    <sheet name="AHO" sheetId="6" r:id="rId3"/>
    <sheet name="Stunden pro a" sheetId="4" r:id="rId4"/>
    <sheet name="TVöD" sheetId="1" r:id="rId5"/>
    <sheet name="Vergleich Angestt-Selbst." sheetId="7" r:id="rId6"/>
    <sheet name="Empfehlung" sheetId="8" r:id="rId7"/>
  </sheets>
  <calcPr calcId="125725"/>
</workbook>
</file>

<file path=xl/calcChain.xml><?xml version="1.0" encoding="utf-8"?>
<calcChain xmlns="http://schemas.openxmlformats.org/spreadsheetml/2006/main">
  <c r="E49" i="2"/>
  <c r="E6" i="8"/>
  <c r="B6"/>
  <c r="E5"/>
  <c r="B5"/>
  <c r="F108" i="7"/>
  <c r="C108"/>
  <c r="H101"/>
  <c r="G101"/>
  <c r="E101"/>
  <c r="D101"/>
  <c r="H91"/>
  <c r="H94" s="1"/>
  <c r="H95" s="1"/>
  <c r="H96" s="1"/>
  <c r="H113" s="1"/>
  <c r="H118" s="1"/>
  <c r="H119" s="1"/>
  <c r="G91"/>
  <c r="G94" s="1"/>
  <c r="G95" s="1"/>
  <c r="G96" s="1"/>
  <c r="G113" s="1"/>
  <c r="G118" s="1"/>
  <c r="G119" s="1"/>
  <c r="E91"/>
  <c r="E94" s="1"/>
  <c r="E95" s="1"/>
  <c r="E96" s="1"/>
  <c r="E113" s="1"/>
  <c r="D91"/>
  <c r="D94" s="1"/>
  <c r="D95" s="1"/>
  <c r="D96" s="1"/>
  <c r="D113" s="1"/>
  <c r="D118" s="1"/>
  <c r="D119" s="1"/>
  <c r="E89"/>
  <c r="D67"/>
  <c r="D27"/>
  <c r="D52" s="1"/>
  <c r="G52" s="1"/>
  <c r="D26"/>
  <c r="D25"/>
  <c r="D48" s="1"/>
  <c r="D22"/>
  <c r="D24" s="1"/>
  <c r="D21"/>
  <c r="D50" s="1"/>
  <c r="G50" s="1"/>
  <c r="D20"/>
  <c r="D13"/>
  <c r="D7"/>
  <c r="D8" s="1"/>
  <c r="K32" i="2"/>
  <c r="B49"/>
  <c r="C26" i="4"/>
  <c r="B26"/>
  <c r="B24"/>
  <c r="C21"/>
  <c r="C22"/>
  <c r="C20"/>
  <c r="C19"/>
  <c r="C9"/>
  <c r="D9" s="1"/>
  <c r="B9"/>
  <c r="B13" s="1"/>
  <c r="C3"/>
  <c r="D35" i="2" l="1"/>
  <c r="F27" s="1"/>
  <c r="G27" s="1"/>
  <c r="D9" i="7"/>
  <c r="D41"/>
  <c r="D18"/>
  <c r="D71" s="1"/>
  <c r="D28"/>
  <c r="D35"/>
  <c r="G48"/>
  <c r="G49" s="1"/>
  <c r="D49"/>
  <c r="G102"/>
  <c r="G105" s="1"/>
  <c r="G107" s="1"/>
  <c r="E102"/>
  <c r="E105" s="1"/>
  <c r="E107" s="1"/>
  <c r="D102"/>
  <c r="D105" s="1"/>
  <c r="D107" s="1"/>
  <c r="E118"/>
  <c r="E119" s="1"/>
  <c r="H102"/>
  <c r="H105" s="1"/>
  <c r="H107" s="1"/>
  <c r="D47"/>
  <c r="G47" s="1"/>
  <c r="B17" i="4"/>
  <c r="C13"/>
  <c r="D29" i="7" l="1"/>
  <c r="D30" s="1"/>
  <c r="D31" s="1"/>
  <c r="D32" s="1"/>
  <c r="D19"/>
  <c r="D46"/>
  <c r="D38"/>
  <c r="D42" s="1"/>
  <c r="G71"/>
  <c r="G81" s="1"/>
  <c r="D81"/>
  <c r="B20" i="3"/>
  <c r="C17" i="4"/>
  <c r="D13"/>
  <c r="E13"/>
  <c r="D64" i="7" l="1"/>
  <c r="D66" s="1"/>
  <c r="G46"/>
  <c r="G64" s="1"/>
  <c r="C20" i="3"/>
  <c r="C24" i="4"/>
  <c r="D17"/>
  <c r="E17"/>
  <c r="G66" i="7" l="1"/>
  <c r="G82" s="1"/>
  <c r="E67"/>
  <c r="D82"/>
  <c r="C8" i="3"/>
  <c r="C9"/>
  <c r="C7"/>
  <c r="C5"/>
  <c r="B4"/>
  <c r="C4" s="1"/>
  <c r="C3"/>
  <c r="C2"/>
  <c r="G15" i="2"/>
  <c r="G20" s="1"/>
  <c r="D85" i="7" l="1"/>
  <c r="C18" i="3"/>
  <c r="C22" s="1"/>
  <c r="F29" i="2"/>
  <c r="G29" s="1"/>
  <c r="F31"/>
  <c r="G31" s="1"/>
  <c r="F33"/>
  <c r="G33" s="1"/>
  <c r="F28"/>
  <c r="G28" s="1"/>
  <c r="F30"/>
  <c r="G30" s="1"/>
  <c r="F32"/>
  <c r="G32" s="1"/>
  <c r="C28" i="3" l="1"/>
  <c r="C30" s="1"/>
  <c r="E85" i="7"/>
  <c r="D108"/>
  <c r="D121" s="1"/>
  <c r="G41" i="2"/>
  <c r="G43" s="1"/>
  <c r="G45" s="1"/>
  <c r="G49" s="1"/>
  <c r="E108" i="7" l="1"/>
  <c r="E121" s="1"/>
  <c r="G85"/>
  <c r="G51" i="2"/>
  <c r="G53" s="1"/>
  <c r="H85" i="7" l="1"/>
  <c r="H108" s="1"/>
  <c r="H121" s="1"/>
  <c r="G108"/>
  <c r="G121" s="1"/>
  <c r="G58" i="2"/>
  <c r="G56"/>
</calcChain>
</file>

<file path=xl/comments1.xml><?xml version="1.0" encoding="utf-8"?>
<comments xmlns="http://schemas.openxmlformats.org/spreadsheetml/2006/main">
  <authors>
    <author>juergen</author>
    <author>schuju5x</author>
  </authors>
  <commentList>
    <comment ref="A7" authorId="0">
      <text>
        <r>
          <rPr>
            <b/>
            <sz val="10"/>
            <color indexed="81"/>
            <rFont val="Tahoma"/>
            <family val="2"/>
          </rPr>
          <t>Krankheit wird als Aufwand fuer den Beruf gerechnet, da keine bezahlte echte Freizeit</t>
        </r>
        <r>
          <rPr>
            <sz val="10"/>
            <color indexed="81"/>
            <rFont val="Tahoma"/>
            <family val="2"/>
          </rPr>
          <t xml:space="preserve">
</t>
        </r>
      </text>
    </comment>
    <comment ref="A42" authorId="0">
      <text>
        <r>
          <rPr>
            <b/>
            <sz val="10"/>
            <color indexed="81"/>
            <rFont val="Tahoma"/>
            <family val="2"/>
          </rPr>
          <t>Dies wäre der etwaige Kostensatz für die Beschäftigung eines externen Freelancers</t>
        </r>
      </text>
    </comment>
    <comment ref="A62" authorId="1">
      <text>
        <r>
          <rPr>
            <sz val="8"/>
            <color indexed="81"/>
            <rFont val="Tahoma"/>
            <family val="2"/>
          </rPr>
          <t>wieviel mehr muss man verdienen, damit sich die Selbständigkeit lohnt ? (Vollauslastung unterstellt!)</t>
        </r>
      </text>
    </comment>
    <comment ref="A63" authorId="1">
      <text>
        <r>
          <rPr>
            <b/>
            <sz val="8"/>
            <color indexed="81"/>
            <rFont val="Tahoma"/>
            <family val="2"/>
          </rPr>
          <t>Rücklagen, um Durststrecken  auszugleichen</t>
        </r>
      </text>
    </comment>
    <comment ref="A70" authorId="0">
      <text>
        <r>
          <rPr>
            <sz val="10"/>
            <color indexed="81"/>
            <rFont val="Tahoma"/>
            <family val="2"/>
          </rPr>
          <t xml:space="preserve">Minimalstundensatz, wenn alle Zeit in die Arbeit flösse
</t>
        </r>
      </text>
    </comment>
    <comment ref="A71" authorId="1">
      <text>
        <r>
          <rPr>
            <sz val="8"/>
            <color indexed="81"/>
            <rFont val="Tahoma"/>
            <family val="2"/>
          </rPr>
          <t>i.dR. der Wert von oben, als Vergleich</t>
        </r>
      </text>
    </comment>
    <comment ref="A82" authorId="1">
      <text>
        <r>
          <rPr>
            <b/>
            <sz val="8"/>
            <color indexed="81"/>
            <rFont val="Tahoma"/>
            <family val="2"/>
          </rPr>
          <t>Dieser Stundenzahl wäre zu erheben, wenn der Selbständige seinen Umsatz mit der zur Verfügung stehenden Stundenzahl ohne Zeitverluste und  ohne weiteren finanziellen Aufwand erreichen kann.
Dieser Wert stellt den absoluten Mindestumsatz bei home office dar, jeweils Minimalsatz und Maximalsatz</t>
        </r>
        <r>
          <rPr>
            <sz val="8"/>
            <color indexed="81"/>
            <rFont val="Tahoma"/>
            <family val="2"/>
          </rPr>
          <t xml:space="preserve">
</t>
        </r>
      </text>
    </comment>
    <comment ref="D82" authorId="0">
      <text>
        <r>
          <rPr>
            <b/>
            <sz val="10"/>
            <color indexed="81"/>
            <rFont val="Tahoma"/>
            <family val="2"/>
          </rPr>
          <t>minimaler Satz bei Vollauslastung</t>
        </r>
        <r>
          <rPr>
            <sz val="10"/>
            <color indexed="81"/>
            <rFont val="Tahoma"/>
            <family val="2"/>
          </rPr>
          <t xml:space="preserve">
</t>
        </r>
      </text>
    </comment>
    <comment ref="G82" authorId="0">
      <text>
        <r>
          <rPr>
            <b/>
            <sz val="10"/>
            <color indexed="81"/>
            <rFont val="Tahoma"/>
            <family val="2"/>
          </rPr>
          <t>minimaler Satz bei Vollauslastung</t>
        </r>
        <r>
          <rPr>
            <sz val="10"/>
            <color indexed="81"/>
            <rFont val="Tahoma"/>
            <family val="2"/>
          </rPr>
          <t xml:space="preserve">
</t>
        </r>
      </text>
    </comment>
    <comment ref="A89" authorId="1">
      <text>
        <r>
          <rPr>
            <b/>
            <sz val="8"/>
            <color indexed="81"/>
            <rFont val="Tahoma"/>
            <family val="2"/>
          </rPr>
          <t>Je nach Dauer des Projektes teilt sich die zur Verfügung stehende Gesamtzeit auf, wobei fixe Zeiten für Projektgewinnung unterschiedlich ins Gewicht fallen. Kürze Projekte erforden daher IMMER einen höheren Stundensatz.</t>
        </r>
        <r>
          <rPr>
            <sz val="8"/>
            <color indexed="81"/>
            <rFont val="Tahoma"/>
            <family val="2"/>
          </rPr>
          <t xml:space="preserve">
</t>
        </r>
      </text>
    </comment>
    <comment ref="A94" authorId="1">
      <text>
        <r>
          <rPr>
            <b/>
            <sz val="8"/>
            <color indexed="81"/>
            <rFont val="Tahoma"/>
            <family val="2"/>
          </rPr>
          <t xml:space="preserve">Die geschätzte Zahl der effektiven Tage vor ort. </t>
        </r>
        <r>
          <rPr>
            <b/>
            <sz val="8"/>
            <color indexed="17"/>
            <rFont val="Tahoma"/>
            <family val="2"/>
          </rPr>
          <t>Gfs überschreiben.</t>
        </r>
        <r>
          <rPr>
            <sz val="8"/>
            <color indexed="81"/>
            <rFont val="Tahoma"/>
            <family val="2"/>
          </rPr>
          <t xml:space="preserve">
</t>
        </r>
      </text>
    </comment>
    <comment ref="A103" authorId="1">
      <text>
        <r>
          <rPr>
            <b/>
            <sz val="8"/>
            <color indexed="81"/>
            <rFont val="Tahoma"/>
            <family val="2"/>
          </rPr>
          <t>Anschaffungen für dieses Projekt, die nicht schon allgemein erfasst sind.</t>
        </r>
      </text>
    </comment>
    <comment ref="A104" authorId="1">
      <text>
        <r>
          <rPr>
            <b/>
            <sz val="8"/>
            <color indexed="81"/>
            <rFont val="Tahoma"/>
            <family val="2"/>
          </rPr>
          <t>Anfahrt, Bewerbung, Schriftverkehr, Angebot, Vorstellung, Telefoninterview</t>
        </r>
        <r>
          <rPr>
            <sz val="8"/>
            <color indexed="81"/>
            <rFont val="Tahoma"/>
            <family val="2"/>
          </rPr>
          <t xml:space="preserve">
</t>
        </r>
      </text>
    </comment>
    <comment ref="A105" authorId="1">
      <text>
        <r>
          <rPr>
            <b/>
            <sz val="8"/>
            <color indexed="81"/>
            <rFont val="Tahoma"/>
            <family val="2"/>
          </rPr>
          <t xml:space="preserve">Die gemäß der vorstehenden Angaben berechneten Mehrkosten, die von diesem Projekt konkret verursacht werden und direkt refinanziert werden müssen.
</t>
        </r>
        <r>
          <rPr>
            <b/>
            <sz val="8"/>
            <color indexed="17"/>
            <rFont val="Tahoma"/>
            <family val="2"/>
          </rPr>
          <t>Gfs überscheiben.</t>
        </r>
        <r>
          <rPr>
            <sz val="8"/>
            <color indexed="81"/>
            <rFont val="Tahoma"/>
            <family val="2"/>
          </rPr>
          <t xml:space="preserve">
</t>
        </r>
      </text>
    </comment>
    <comment ref="A107" authorId="1">
      <text>
        <r>
          <rPr>
            <b/>
            <sz val="8"/>
            <color indexed="81"/>
            <rFont val="Tahoma"/>
            <family val="2"/>
          </rPr>
          <t>Die Projektmehrkosten werden auf die bezahlten Stunden verteilt.</t>
        </r>
        <r>
          <rPr>
            <sz val="8"/>
            <color indexed="81"/>
            <rFont val="Tahoma"/>
            <family val="2"/>
          </rPr>
          <t xml:space="preserve">
</t>
        </r>
      </text>
    </comment>
    <comment ref="A108" authorId="1">
      <text>
        <r>
          <rPr>
            <b/>
            <sz val="8"/>
            <color indexed="81"/>
            <rFont val="Tahoma"/>
            <family val="2"/>
          </rPr>
          <t xml:space="preserve">Ein Zwischenwert, der die Kosten im Projekt beinhaltet und als Basis für die folgende Berechnung dient.
</t>
        </r>
        <r>
          <rPr>
            <b/>
            <sz val="8"/>
            <color indexed="10"/>
            <rFont val="Tahoma"/>
            <family val="2"/>
          </rPr>
          <t>Nicht überchreiben!</t>
        </r>
      </text>
    </comment>
    <comment ref="A114" authorId="1">
      <text>
        <r>
          <rPr>
            <b/>
            <sz val="8"/>
            <color indexed="81"/>
            <rFont val="Tahoma"/>
            <family val="2"/>
          </rPr>
          <t>Zeiten für Anfahrt, Bewerbung, Schriftverkehr, Angebot, Vorstellung, Telefoninterview</t>
        </r>
        <r>
          <rPr>
            <sz val="8"/>
            <color indexed="81"/>
            <rFont val="Tahoma"/>
            <family val="2"/>
          </rPr>
          <t xml:space="preserve">
</t>
        </r>
      </text>
    </comment>
    <comment ref="A115" authorId="1">
      <text>
        <r>
          <rPr>
            <b/>
            <sz val="8"/>
            <color indexed="81"/>
            <rFont val="Tahoma"/>
            <family val="2"/>
          </rPr>
          <t>Behördenaktivität (Auslandsprojekt), Wohnungssuche, Rechnungen, Projektberichte, Zeiterfassungen, Abwicklung</t>
        </r>
        <r>
          <rPr>
            <sz val="8"/>
            <color indexed="81"/>
            <rFont val="Tahoma"/>
            <family val="2"/>
          </rPr>
          <t xml:space="preserve">
</t>
        </r>
      </text>
    </comment>
    <comment ref="A116" authorId="1">
      <text>
        <r>
          <rPr>
            <b/>
            <sz val="8"/>
            <color indexed="81"/>
            <rFont val="Tahoma"/>
            <family val="2"/>
          </rPr>
          <t>Zeiten, die im Projekt entstehen, weil unerwartet weder zuhause noch vorort gearbeitet werden kann. Z.B. Kunde verpasst Termin, Autbahnstau, Unfall, ungewollte Arbeitszeitunterbrechung beim Kunden.</t>
        </r>
      </text>
    </comment>
    <comment ref="A118" authorId="1">
      <text>
        <r>
          <rPr>
            <b/>
            <sz val="8"/>
            <color indexed="81"/>
            <rFont val="Tahoma"/>
            <family val="2"/>
          </rPr>
          <t>Dies ist die Bruttozeit im Projekt, die von der im Jahr zur Verfügung stehenden Gesamtzeit = Bezugszeit all-inclusice abgeht. Da sie größer ist, als die bezahlte Projektzeit, muss der bisher ermittelte Stundensatz korrigiert werden.</t>
        </r>
        <r>
          <rPr>
            <sz val="8"/>
            <color indexed="81"/>
            <rFont val="Tahoma"/>
            <family val="2"/>
          </rPr>
          <t xml:space="preserve">
</t>
        </r>
      </text>
    </comment>
    <comment ref="A119" authorId="1">
      <text>
        <r>
          <rPr>
            <b/>
            <sz val="8"/>
            <color indexed="81"/>
            <rFont val="Tahoma"/>
            <family val="2"/>
          </rPr>
          <t xml:space="preserve">Der Stundensatz inklusive Aufschlag  wird korrigiert, da die im Basisstundensatz angenommene Gesamtsumme im Jahr erreicht werden muss, jedoch infolge der zusätzlichen Zeitaufwände nicht die angenomme Stunden gearbeitet werden kann. Die nichtbezahlten Zeiten inkl Fahrtzeiten müssen - wie bei der Berechnung des Vergleichswertes beim Angestellten auch - mitfinanziert werden.
</t>
        </r>
        <r>
          <rPr>
            <sz val="8"/>
            <color indexed="81"/>
            <rFont val="Tahoma"/>
            <family val="2"/>
          </rPr>
          <t xml:space="preserve">
</t>
        </r>
      </text>
    </comment>
    <comment ref="A121" authorId="1">
      <text>
        <r>
          <rPr>
            <b/>
            <sz val="8"/>
            <color indexed="81"/>
            <rFont val="Tahoma"/>
            <family val="2"/>
          </rPr>
          <t>Dieser Stundensatz enthält tatsächlich alle Zeiten (inklusive allgemeinem und konkretem Leerlauf) sowie die gesamten Kosten. Er führt, wenn man solche Projekte permanent aneinander reiht  zu exakt demselben "Gehalt",  wie eingangs beim Angestellten angenommen.
Er gilt also für eine normierte Situation ohne Reserve für Unvorhergesehenes und eine mittlere Konjunktur.</t>
        </r>
        <r>
          <rPr>
            <sz val="8"/>
            <color indexed="81"/>
            <rFont val="Tahoma"/>
            <family val="2"/>
          </rPr>
          <t xml:space="preserve">
</t>
        </r>
      </text>
    </comment>
  </commentList>
</comments>
</file>

<file path=xl/sharedStrings.xml><?xml version="1.0" encoding="utf-8"?>
<sst xmlns="http://schemas.openxmlformats.org/spreadsheetml/2006/main" count="364" uniqueCount="255">
  <si>
    <t>15Ü</t>
  </si>
  <si>
    <t>TVöD (Bund)</t>
  </si>
  <si>
    <t>Stufe 1</t>
  </si>
  <si>
    <t>Stufe 2</t>
  </si>
  <si>
    <t>Stufe 3</t>
  </si>
  <si>
    <t>Stufe 4</t>
  </si>
  <si>
    <t>Stufe 5</t>
  </si>
  <si>
    <t>Gesamtkosten (aus z. B. DATEV-BWA)</t>
  </si>
  <si>
    <r>
      <t>Personalkosten</t>
    </r>
    <r>
      <rPr>
        <b/>
        <sz val="10"/>
        <rFont val="Arial"/>
        <family val="2"/>
      </rPr>
      <t xml:space="preserve"> (inkl. Büroinhaber)</t>
    </r>
  </si>
  <si>
    <t>Raumkosten</t>
  </si>
  <si>
    <t>Betriebliche Steuern</t>
  </si>
  <si>
    <t>Versich./Beiträge</t>
  </si>
  <si>
    <t>Kfz-Kosten (o. St.)</t>
  </si>
  <si>
    <t>Werbe-/Reisekosten</t>
  </si>
  <si>
    <t>Abschreibungen</t>
  </si>
  <si>
    <t>Reparatur/Instandh.</t>
  </si>
  <si>
    <t>Sonstige Kosten</t>
  </si>
  <si>
    <t>Neutraler Aufwand (Zinsen u. a.)</t>
  </si>
  <si>
    <t>Summe Kostenarten</t>
  </si>
  <si>
    <t>Mitarbeiterprämien (Jahres -, …)</t>
  </si>
  <si>
    <t>Zinsen für z. B. Vorfinanzierung</t>
  </si>
  <si>
    <t>Basis Monatsberechnung (BMS)</t>
  </si>
  <si>
    <r>
      <t>Berechnung Gemeinkostenfaktor Grundgehalt</t>
    </r>
    <r>
      <rPr>
        <sz val="10"/>
        <rFont val="Arial"/>
        <family val="2"/>
      </rPr>
      <t xml:space="preserve"> (inkl. KV-/RV-/AV-/PV-Beitrag AG)</t>
    </r>
  </si>
  <si>
    <t>Mitarbeiter</t>
  </si>
  <si>
    <t>Angestellte Monate (AM)</t>
  </si>
  <si>
    <t>Monatsgehalt
inkl. Weihgrat.</t>
  </si>
  <si>
    <t>Basis</t>
  </si>
  <si>
    <t>Deckungs-anteil (DA)</t>
  </si>
  <si>
    <t>Deckungsfaktor
(AM * DA)</t>
  </si>
  <si>
    <t>geteilt durch GHM</t>
  </si>
  <si>
    <r>
      <t>Grundgehaltmittelsatz (</t>
    </r>
    <r>
      <rPr>
        <b/>
        <sz val="10"/>
        <rFont val="Arial"/>
        <family val="2"/>
      </rPr>
      <t>GHM</t>
    </r>
    <r>
      <rPr>
        <sz val="10"/>
        <rFont val="Arial"/>
        <family val="2"/>
      </rPr>
      <t>), rd.</t>
    </r>
  </si>
  <si>
    <t>Fr. Aushilfe</t>
  </si>
  <si>
    <t>Kein Deckungsbeitrag, da nicht abrechenbar</t>
  </si>
  <si>
    <t>Sekretärin</t>
  </si>
  <si>
    <t>Gesamtdeckungsmonate (GSM)</t>
  </si>
  <si>
    <t>Mittel-Deckungsmonatssatz (MDS) = BMS/GSM</t>
  </si>
  <si>
    <r>
      <t>Gemeinkostenfaktor Grundgehalt (GKF</t>
    </r>
    <r>
      <rPr>
        <b/>
        <vertAlign val="subscript"/>
        <sz val="10"/>
        <rFont val="Arial"/>
        <family val="2"/>
      </rPr>
      <t>G</t>
    </r>
    <r>
      <rPr>
        <b/>
        <sz val="10"/>
        <rFont val="Arial"/>
        <family val="2"/>
      </rPr>
      <t>)</t>
    </r>
    <r>
      <rPr>
        <sz val="11"/>
        <color theme="1"/>
        <rFont val="Calibri"/>
        <family val="2"/>
        <scheme val="minor"/>
      </rPr>
      <t xml:space="preserve"> = MDS/GHM</t>
    </r>
  </si>
  <si>
    <t>Ermittlung Stundenverrechnungssätze</t>
  </si>
  <si>
    <t>Jahresgehalt/12 =</t>
  </si>
  <si>
    <r>
      <t>* GKF</t>
    </r>
    <r>
      <rPr>
        <vertAlign val="subscript"/>
        <sz val="10"/>
        <rFont val="Arial"/>
        <family val="2"/>
      </rPr>
      <t>G</t>
    </r>
  </si>
  <si>
    <t>Unternehmerbedarf (UB)</t>
  </si>
  <si>
    <t>Monatsverrechnungssatz (Brutto):</t>
  </si>
  <si>
    <t>Monatsverrechnungssatz:</t>
  </si>
  <si>
    <r>
      <t>Stundenberechnungssatz</t>
    </r>
    <r>
      <rPr>
        <sz val="8"/>
        <rFont val="Arial"/>
        <family val="2"/>
      </rPr>
      <t>, bei abrechenbaren Stunden pro Monat von:</t>
    </r>
  </si>
  <si>
    <t>Monat</t>
  </si>
  <si>
    <t>Jahr</t>
  </si>
  <si>
    <t>KV</t>
  </si>
  <si>
    <t>TKK</t>
  </si>
  <si>
    <t>Altersvorsorge</t>
  </si>
  <si>
    <t>wie BfA</t>
  </si>
  <si>
    <t>Vorsorge für BU</t>
  </si>
  <si>
    <t>Miete</t>
  </si>
  <si>
    <t>NK</t>
  </si>
  <si>
    <t>PKW-Leasing</t>
  </si>
  <si>
    <t>Haftpflicht</t>
  </si>
  <si>
    <t>Versicherungen (Rechtsschutz u.a.)</t>
  </si>
  <si>
    <t>Bürobedarf</t>
  </si>
  <si>
    <t>Arbeitstage</t>
  </si>
  <si>
    <t>Stunden</t>
  </si>
  <si>
    <t>Stundensatz</t>
  </si>
  <si>
    <t>Anteil</t>
  </si>
  <si>
    <t>Tage/a</t>
  </si>
  <si>
    <t>abzüglich</t>
  </si>
  <si>
    <t>52 Wochenenden</t>
  </si>
  <si>
    <t>Feiertage</t>
  </si>
  <si>
    <t>verbleiben</t>
  </si>
  <si>
    <t>Urlaub</t>
  </si>
  <si>
    <t>Krankheit</t>
  </si>
  <si>
    <t>effektiv pro Monat</t>
  </si>
  <si>
    <t>Fortbildung</t>
  </si>
  <si>
    <t>Werbung, Akquisition</t>
  </si>
  <si>
    <t>Organisation, Verwaltung</t>
  </si>
  <si>
    <t>QM</t>
  </si>
  <si>
    <t>Honorarausfälle, z. B. durch Konkurs der Auftraggeber</t>
  </si>
  <si>
    <t>Kosten aus Rechtsfällen</t>
  </si>
  <si>
    <t>Nacharbeitungskosten für Fehlleistungen der Mitarbeiter</t>
  </si>
  <si>
    <t>Zuschläge für Wagnis, z.B.:</t>
  </si>
  <si>
    <t>Eigenanteil GS1</t>
  </si>
  <si>
    <t>Geologe1</t>
  </si>
  <si>
    <t>Geologe2</t>
  </si>
  <si>
    <t>Geologe3</t>
  </si>
  <si>
    <t>Geologe4</t>
  </si>
  <si>
    <t>Geologe5</t>
  </si>
  <si>
    <t>Techniker</t>
  </si>
  <si>
    <t>MW Geologe:</t>
  </si>
  <si>
    <t>Beispiel:</t>
  </si>
  <si>
    <t>AHO - Stundensatzrechner</t>
  </si>
  <si>
    <t>Monatsgehalt (Brutto)</t>
  </si>
  <si>
    <t> €</t>
  </si>
  <si>
    <t>Weihnachtsgratifikation</t>
  </si>
  <si>
    <t>Sonderzahlungen</t>
  </si>
  <si>
    <t>Jahresgehalt</t>
  </si>
  <si>
    <t> / 12 =</t>
  </si>
  <si>
    <r>
      <t>AHO-Gemeinkostenfaktor</t>
    </r>
    <r>
      <rPr>
        <sz val="11"/>
        <color theme="1"/>
        <rFont val="Calibri"/>
        <family val="2"/>
        <scheme val="minor"/>
      </rPr>
      <t xml:space="preserve"> inkl. 10% Unternehmerbedarf,</t>
    </r>
  </si>
  <si>
    <t>ohne Leistungen an Dritte, Büros mit (bitte ankreuzen):</t>
  </si>
  <si>
    <t>1 Person</t>
  </si>
  <si>
    <t>2 - 5 Personen</t>
  </si>
  <si>
    <t>6 - 10 Personen</t>
  </si>
  <si>
    <t>11 - 50 Personen</t>
  </si>
  <si>
    <t>51 - 100 Personen</t>
  </si>
  <si>
    <t>&gt; 100 Personen</t>
  </si>
  <si>
    <t>Deckungsstundensatz</t>
  </si>
  <si>
    <r>
      <t>Stundensatzbasis:</t>
    </r>
    <r>
      <rPr>
        <sz val="11"/>
        <color theme="1"/>
        <rFont val="Calibri"/>
        <family val="2"/>
        <scheme val="minor"/>
      </rPr>
      <t xml:space="preserve"> 169h (39h/Wo)</t>
    </r>
  </si>
  <si>
    <t>44.000 €</t>
  </si>
  <si>
    <t>3.667 €</t>
  </si>
  <si>
    <r>
      <t>11.807</t>
    </r>
    <r>
      <rPr>
        <sz val="11"/>
        <color theme="1"/>
        <rFont val="Calibri"/>
        <family val="2"/>
        <scheme val="minor"/>
      </rPr>
      <t> €</t>
    </r>
  </si>
  <si>
    <r>
      <t>10.523</t>
    </r>
    <r>
      <rPr>
        <sz val="11"/>
        <color theme="1"/>
        <rFont val="Calibri"/>
        <family val="2"/>
        <scheme val="minor"/>
      </rPr>
      <t> €</t>
    </r>
  </si>
  <si>
    <r>
      <t>10.780</t>
    </r>
    <r>
      <rPr>
        <sz val="11"/>
        <color theme="1"/>
        <rFont val="Calibri"/>
        <family val="2"/>
        <scheme val="minor"/>
      </rPr>
      <t> €</t>
    </r>
  </si>
  <si>
    <r>
      <t>9.790</t>
    </r>
    <r>
      <rPr>
        <sz val="11"/>
        <color theme="1"/>
        <rFont val="Calibri"/>
        <family val="2"/>
        <scheme val="minor"/>
      </rPr>
      <t> €</t>
    </r>
  </si>
  <si>
    <r>
      <t>10.157</t>
    </r>
    <r>
      <rPr>
        <sz val="11"/>
        <color theme="1"/>
        <rFont val="Calibri"/>
        <family val="2"/>
        <scheme val="minor"/>
      </rPr>
      <t> €</t>
    </r>
  </si>
  <si>
    <r>
      <t>11.367</t>
    </r>
    <r>
      <rPr>
        <sz val="11"/>
        <color theme="1"/>
        <rFont val="Calibri"/>
        <family val="2"/>
        <scheme val="minor"/>
      </rPr>
      <t> €</t>
    </r>
  </si>
  <si>
    <r>
      <t>63,79</t>
    </r>
    <r>
      <rPr>
        <b/>
        <sz val="11"/>
        <color theme="1"/>
        <rFont val="Calibri"/>
        <family val="2"/>
        <scheme val="minor"/>
      </rPr>
      <t> </t>
    </r>
    <r>
      <rPr>
        <b/>
        <sz val="12"/>
        <color theme="1"/>
        <rFont val="Calibri"/>
        <family val="2"/>
        <scheme val="minor"/>
      </rPr>
      <t>€</t>
    </r>
  </si>
  <si>
    <t>http://www.aho.de/hoai/weg1.php3</t>
  </si>
  <si>
    <t>Quelle:</t>
  </si>
  <si>
    <t>Stundensatz roh</t>
  </si>
  <si>
    <t xml:space="preserve">Stundensatz </t>
  </si>
  <si>
    <t>Berechung der Angestelltensituation</t>
  </si>
  <si>
    <t>gesamtes Jahresbrutto inkl Zulagen</t>
  </si>
  <si>
    <t>€</t>
  </si>
  <si>
    <t>Arbeitsstunden am Tag</t>
  </si>
  <si>
    <t>h</t>
  </si>
  <si>
    <t>Werktage im Jahr</t>
  </si>
  <si>
    <t>T</t>
  </si>
  <si>
    <t>Urlaubstage</t>
  </si>
  <si>
    <t>Arbeitstage im Jahr inkl Krankheit</t>
  </si>
  <si>
    <t>Arbeitsstunden im Jahr</t>
  </si>
  <si>
    <t>resultierender nomineller Stundensatz</t>
  </si>
  <si>
    <t>effektiver Stundensatz des Angestellten</t>
  </si>
  <si>
    <t>Anfahrt je Tag einfacher Weg</t>
  </si>
  <si>
    <t>min</t>
  </si>
  <si>
    <t>gesamte Anfahrtzeit im Jahr</t>
  </si>
  <si>
    <t>Unbezahlte Weiterbildung in Eigenleistung</t>
  </si>
  <si>
    <t>Unbezahlte Überstunden im Jahr</t>
  </si>
  <si>
    <t>Aufwand für Steuererklärung</t>
  </si>
  <si>
    <t>Sonstiger Aufwand für den Beruf</t>
  </si>
  <si>
    <t>jählicher Zeitaufwand für den Beruf</t>
  </si>
  <si>
    <t>effektiver Bruttostundensatz</t>
  </si>
  <si>
    <t>AG-Zuschuss zur RV</t>
  </si>
  <si>
    <t>AG-Zuschuss zur AV</t>
  </si>
  <si>
    <t>AG-Zuschuss zur KV + PV</t>
  </si>
  <si>
    <t>sonstige Leistungen / Vorteile / VWL</t>
  </si>
  <si>
    <t>Gesamtleistung durch den AG</t>
  </si>
  <si>
    <t>Gesamtabzug für RV</t>
  </si>
  <si>
    <t>Gesamtabzug für AV</t>
  </si>
  <si>
    <t>Gesamtabzug für KV + PV</t>
  </si>
  <si>
    <t>Nettogehalt vor Steuern</t>
  </si>
  <si>
    <t>ungefähres zu versteuerndes Einkommen</t>
  </si>
  <si>
    <t>ca Steuern (KL1)</t>
  </si>
  <si>
    <t>geschätztes Netto</t>
  </si>
  <si>
    <t>Nettostundensatz</t>
  </si>
  <si>
    <t>Angestelltenkosten für den Arbeitgeber</t>
  </si>
  <si>
    <t>Gehalt für Angestellten inkl. Sozialleistungen</t>
  </si>
  <si>
    <t>Arbeitsplatzkosten inkl Verwaltung</t>
  </si>
  <si>
    <t>Weiterbildungskosten</t>
  </si>
  <si>
    <t>Gesamtkosten für den AG</t>
  </si>
  <si>
    <t>Zeit für interne Schulungen / Messen</t>
  </si>
  <si>
    <t>Ausfall durch Krankheit</t>
  </si>
  <si>
    <t>effektive Arbeitsleistung des Angestellten</t>
  </si>
  <si>
    <t>tatsächlicher Stundensatz für den AG</t>
  </si>
  <si>
    <t>Vergleichsumsatz des Selbständigen</t>
  </si>
  <si>
    <t>Nominelles Brutto von oben</t>
  </si>
  <si>
    <t>Nachteil der nicht steuerfreien Sozialleistng</t>
  </si>
  <si>
    <t>Vorteil gesparter RV - Beitrag</t>
  </si>
  <si>
    <t>Eigene gleichwertige Rentenversicherung</t>
  </si>
  <si>
    <t>Vorteil gesparter AV - Beitrag</t>
  </si>
  <si>
    <t>Nachteil fehlende Arbeitslosenversicherung</t>
  </si>
  <si>
    <t>gesparte Krankenversicherung</t>
  </si>
  <si>
    <t>Kosten für eigene Krankenversicherung</t>
  </si>
  <si>
    <t>Durch Selbständigkeit verursachte Fixkosten</t>
  </si>
  <si>
    <t>zusätzliche Versicherungen</t>
  </si>
  <si>
    <t>Bürokosten</t>
  </si>
  <si>
    <t>Anschaffungen GWG</t>
  </si>
  <si>
    <t>KFZ-Fixkosten / - Abschreibung</t>
  </si>
  <si>
    <t>privater Vorteil von Abschreibungen / Kosten</t>
  </si>
  <si>
    <t>finanzieller Sollvorteil der Selbständigkeit</t>
  </si>
  <si>
    <t>zusätzliche Rücklagen (5%)</t>
  </si>
  <si>
    <t>Jahresmindestumsatz ohne Projektkosten</t>
  </si>
  <si>
    <t>Gemittelter Wert fuer weitere Variationsrechung</t>
  </si>
  <si>
    <t>Vergleichsgehalt des Angestellten / Faktor</t>
  </si>
  <si>
    <t>Berechung des Basisstundensatzes</t>
  </si>
  <si>
    <t>Zeiteinsatz für berufliche Tätigkeit wie oben</t>
  </si>
  <si>
    <t>Mehraufwand für Selbständigkeit</t>
  </si>
  <si>
    <t>Aufwand Anfertigung Steuer</t>
  </si>
  <si>
    <t>Allgemeine Aquise / Werbung</t>
  </si>
  <si>
    <t>Zeiteinsatz für erfolglose Projektgewinnung</t>
  </si>
  <si>
    <t>Messebesuche</t>
  </si>
  <si>
    <t>Weiterbildung</t>
  </si>
  <si>
    <t>Kompensation Krankheit / Arbeitsausfall</t>
  </si>
  <si>
    <t>Leerlauf, der nicht als Urlaub rechenbar ist</t>
  </si>
  <si>
    <t>Sonstige Stunden</t>
  </si>
  <si>
    <t>Maximale Projektstunden im Jahr</t>
  </si>
  <si>
    <t>Minimaler Basis-Stundensatz</t>
  </si>
  <si>
    <t>Konkrete Projektkalkulation</t>
  </si>
  <si>
    <t>bezahlte Projektstunden</t>
  </si>
  <si>
    <t>Homeofficeanteil</t>
  </si>
  <si>
    <t>Gesamtstunden beim Kunden</t>
  </si>
  <si>
    <t>Projektstunden am Tag</t>
  </si>
  <si>
    <t>Arbeitstage beim Kunden</t>
  </si>
  <si>
    <t>Arbeitswochen beim Kunden</t>
  </si>
  <si>
    <t>W</t>
  </si>
  <si>
    <t>Übernachtungen</t>
  </si>
  <si>
    <t>x</t>
  </si>
  <si>
    <t>Übernachtungskosten Netto</t>
  </si>
  <si>
    <t>tägliche Verpflegungsmehrkosten vor ort</t>
  </si>
  <si>
    <t>tägliche Fahrtkosten zum Kunden</t>
  </si>
  <si>
    <t>Vorteil Verpflegungsmehraufwand</t>
  </si>
  <si>
    <t>Zusatzkosten je Tag beim Kunden</t>
  </si>
  <si>
    <t>zusätzliche Kosten durch Vorortätigkeit</t>
  </si>
  <si>
    <t>Einmalige Projektmehrkosten</t>
  </si>
  <si>
    <t>Kosten für Bewerbung für dieses Projekt</t>
  </si>
  <si>
    <t>Gesamtprojektmehrkosten</t>
  </si>
  <si>
    <t>Mehrkostenaufschlag je Projektstunde</t>
  </si>
  <si>
    <t>Nettostundensatz Kunde</t>
  </si>
  <si>
    <t>tägliche Anfahrt Kunde</t>
  </si>
  <si>
    <t>wöchentliche Anfahrt einfach</t>
  </si>
  <si>
    <t>wöchentliche Reisevorbereitung</t>
  </si>
  <si>
    <t>Reisezeitverlust im Projekt</t>
  </si>
  <si>
    <t>Aufwand für Aquise dierses Projektes</t>
  </si>
  <si>
    <t>Aufwand Projekthandling / Rechnung</t>
  </si>
  <si>
    <t>Projektleerlauf</t>
  </si>
  <si>
    <t>Sonstiges</t>
  </si>
  <si>
    <t>Gesamtzeitaufwand im Projekt</t>
  </si>
  <si>
    <t>Zeitkorrekturfaktor für Stundensatz</t>
  </si>
  <si>
    <t>Stundensatz für den Kunden (gerundet)</t>
  </si>
  <si>
    <t>TVöD 13 bis 15</t>
  </si>
  <si>
    <t>Wissenschaftliches Hochschulstudium, Master</t>
  </si>
  <si>
    <t>9 bis E 15, E 15 Ü</t>
  </si>
  <si>
    <t>bei</t>
  </si>
  <si>
    <t>Einstellung</t>
  </si>
  <si>
    <t>nach 1 Jahr</t>
  </si>
  <si>
    <t>in Stufe 1</t>
  </si>
  <si>
    <t>nach 2 Jahren</t>
  </si>
  <si>
    <t>in Stufe 2</t>
  </si>
  <si>
    <t>ges.: 3 Jahre</t>
  </si>
  <si>
    <t>nach 3 Jahren</t>
  </si>
  <si>
    <t>in Stufe 3</t>
  </si>
  <si>
    <t>ges.: 6 Jahre</t>
  </si>
  <si>
    <t>nach 4 Jahren</t>
  </si>
  <si>
    <t>in Stufe 4</t>
  </si>
  <si>
    <t>ges.: 10 Jahre</t>
  </si>
  <si>
    <t>TVöD 15, Stufe 5</t>
  </si>
  <si>
    <t>10 Jahre Berufserfahrung</t>
  </si>
  <si>
    <t>Einkommen (Ziel, brutto)</t>
  </si>
  <si>
    <t>Arbeitsstunden produktiv</t>
  </si>
  <si>
    <t>für den Inhaber / Sachverständigen</t>
  </si>
  <si>
    <t>Geowissenschaftler, Senior-Consultant</t>
  </si>
  <si>
    <t>Geowissenschaftler, Junior-Consultant</t>
  </si>
  <si>
    <t>Gehalt</t>
  </si>
  <si>
    <t>Stundensatz min</t>
  </si>
  <si>
    <t>TVöD</t>
  </si>
  <si>
    <t>E15, Stufe 3</t>
  </si>
  <si>
    <t>15Ü, Stufe 5</t>
  </si>
  <si>
    <t>13, Stufe 5</t>
  </si>
  <si>
    <t>13, Stufe 1</t>
  </si>
  <si>
    <t>15, Stufe, 3</t>
  </si>
</sst>
</file>

<file path=xl/styles.xml><?xml version="1.0" encoding="utf-8"?>
<styleSheet xmlns="http://schemas.openxmlformats.org/spreadsheetml/2006/main">
  <numFmts count="12">
    <numFmt numFmtId="8" formatCode="#,##0.00\ &quot;€&quot;;[Red]\-#,##0.00\ &quot;€&quot;"/>
    <numFmt numFmtId="44" formatCode="_-* #,##0.00\ &quot;€&quot;_-;\-* #,##0.00\ &quot;€&quot;_-;_-* &quot;-&quot;??\ &quot;€&quot;_-;_-@_-"/>
    <numFmt numFmtId="164" formatCode="#,##0.00\ &quot;€&quot;"/>
    <numFmt numFmtId="165" formatCode="0.00\ &quot;   &quot;"/>
    <numFmt numFmtId="166" formatCode="0.00\ &quot;PM&quot;"/>
    <numFmt numFmtId="167" formatCode="0.00\ &quot;PJ&quot;"/>
    <numFmt numFmtId="168" formatCode="0.0\ &quot;Mo&quot;"/>
    <numFmt numFmtId="169" formatCode="0\ &quot;h&quot;"/>
    <numFmt numFmtId="170" formatCode="_-* #,##0.00\ &quot;€/h&quot;"/>
    <numFmt numFmtId="171" formatCode="_-* #,##0.00\ [$€-407]_-;\-* #,##0.00\ [$€-407]_-;_-* &quot;-&quot;??\ [$€-407]_-;_-@_-"/>
    <numFmt numFmtId="172" formatCode="#,##0.00_ ;\-#,##0.00\ "/>
    <numFmt numFmtId="173" formatCode="0.0"/>
  </numFmts>
  <fonts count="34">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8"/>
      <name val="Arial"/>
      <family val="2"/>
    </font>
    <font>
      <b/>
      <vertAlign val="subscript"/>
      <sz val="10"/>
      <name val="Arial"/>
      <family val="2"/>
    </font>
    <font>
      <b/>
      <sz val="12"/>
      <name val="Arial"/>
      <family val="2"/>
    </font>
    <font>
      <b/>
      <u/>
      <sz val="10"/>
      <name val="Arial"/>
      <family val="2"/>
    </font>
    <font>
      <vertAlign val="subscript"/>
      <sz val="10"/>
      <name val="Arial"/>
      <family val="2"/>
    </font>
    <font>
      <sz val="11"/>
      <name val="Arial"/>
      <family val="2"/>
    </font>
    <font>
      <sz val="10"/>
      <color indexed="10"/>
      <name val="Arial"/>
      <family val="2"/>
    </font>
    <font>
      <b/>
      <sz val="10"/>
      <color indexed="10"/>
      <name val="Arial"/>
      <family val="2"/>
    </font>
    <font>
      <b/>
      <i/>
      <sz val="10"/>
      <name val="Arial"/>
      <family val="2"/>
    </font>
    <font>
      <b/>
      <sz val="11"/>
      <color rgb="FFFF0000"/>
      <name val="Calibri"/>
      <family val="2"/>
      <scheme val="minor"/>
    </font>
    <font>
      <b/>
      <u val="singleAccounting"/>
      <sz val="11"/>
      <color theme="1"/>
      <name val="Calibri"/>
      <family val="2"/>
      <scheme val="minor"/>
    </font>
    <font>
      <b/>
      <sz val="8"/>
      <color indexed="81"/>
      <name val="Tahoma"/>
      <family val="2"/>
    </font>
    <font>
      <sz val="8"/>
      <color indexed="81"/>
      <name val="Tahoma"/>
      <family val="2"/>
    </font>
    <font>
      <b/>
      <u/>
      <sz val="11"/>
      <color theme="1"/>
      <name val="Calibri"/>
      <family val="2"/>
      <scheme val="minor"/>
    </font>
    <font>
      <sz val="11"/>
      <color rgb="FF999999"/>
      <name val="Calibri"/>
      <family val="2"/>
      <scheme val="minor"/>
    </font>
    <font>
      <b/>
      <sz val="12"/>
      <color theme="1"/>
      <name val="Calibri"/>
      <family val="2"/>
      <scheme val="minor"/>
    </font>
    <font>
      <sz val="11"/>
      <color rgb="FF000000"/>
      <name val="Calibri"/>
      <family val="2"/>
      <scheme val="minor"/>
    </font>
    <font>
      <b/>
      <sz val="10"/>
      <color indexed="17"/>
      <name val="Arial"/>
      <family val="2"/>
    </font>
    <font>
      <sz val="10"/>
      <color indexed="12"/>
      <name val="Arial"/>
      <family val="2"/>
    </font>
    <font>
      <sz val="10"/>
      <color indexed="61"/>
      <name val="Arial"/>
      <family val="2"/>
    </font>
    <font>
      <sz val="10"/>
      <color indexed="20"/>
      <name val="Arial"/>
      <family val="2"/>
    </font>
    <font>
      <b/>
      <sz val="10"/>
      <color indexed="21"/>
      <name val="Arial"/>
      <family val="2"/>
    </font>
    <font>
      <b/>
      <sz val="10"/>
      <color indexed="14"/>
      <name val="Arial"/>
      <family val="2"/>
    </font>
    <font>
      <sz val="10"/>
      <color indexed="17"/>
      <name val="Arial"/>
      <family val="2"/>
    </font>
    <font>
      <b/>
      <sz val="10"/>
      <color indexed="20"/>
      <name val="Arial"/>
      <family val="2"/>
    </font>
    <font>
      <b/>
      <sz val="10"/>
      <color indexed="81"/>
      <name val="Tahoma"/>
      <family val="2"/>
    </font>
    <font>
      <sz val="10"/>
      <color indexed="81"/>
      <name val="Tahoma"/>
      <family val="2"/>
    </font>
    <font>
      <b/>
      <sz val="8"/>
      <color indexed="17"/>
      <name val="Tahoma"/>
      <family val="2"/>
    </font>
    <font>
      <b/>
      <sz val="8"/>
      <color indexed="10"/>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5" tint="0.59999389629810485"/>
        <bgColor indexed="64"/>
      </patternFill>
    </fill>
    <fill>
      <patternFill patternType="solid">
        <fgColor indexed="42"/>
        <bgColor indexed="64"/>
      </patternFill>
    </fill>
    <fill>
      <patternFill patternType="solid">
        <fgColor indexed="4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23"/>
      </left>
      <right style="medium">
        <color indexed="23"/>
      </right>
      <top style="medium">
        <color indexed="23"/>
      </top>
      <bottom style="medium">
        <color indexed="23"/>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diagonal/>
    </border>
    <border>
      <left/>
      <right style="medium">
        <color indexed="22"/>
      </right>
      <top/>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cellStyleXfs>
  <cellXfs count="204">
    <xf numFmtId="0" fontId="0" fillId="0" borderId="0" xfId="0"/>
    <xf numFmtId="44" fontId="0" fillId="0" borderId="0" xfId="1" applyFont="1"/>
    <xf numFmtId="44" fontId="0" fillId="0" borderId="1" xfId="1" applyFont="1" applyBorder="1"/>
    <xf numFmtId="0" fontId="2" fillId="2" borderId="1" xfId="0" applyFont="1" applyFill="1" applyBorder="1" applyAlignment="1">
      <alignment horizontal="center"/>
    </xf>
    <xf numFmtId="0" fontId="3" fillId="3" borderId="0" xfId="0" applyFont="1" applyFill="1"/>
    <xf numFmtId="0" fontId="0" fillId="3" borderId="0" xfId="0" applyFill="1"/>
    <xf numFmtId="9" fontId="0" fillId="0" borderId="0" xfId="0" applyNumberFormat="1"/>
    <xf numFmtId="44" fontId="3" fillId="0" borderId="0" xfId="3" applyFont="1"/>
    <xf numFmtId="44" fontId="0" fillId="0" borderId="0" xfId="0" applyNumberFormat="1"/>
    <xf numFmtId="44" fontId="0" fillId="0" borderId="0" xfId="3" applyFont="1" applyAlignment="1">
      <alignment horizontal="center"/>
    </xf>
    <xf numFmtId="44" fontId="4" fillId="0" borderId="0" xfId="3" applyFont="1"/>
    <xf numFmtId="0" fontId="0" fillId="0" borderId="0" xfId="0" applyAlignment="1">
      <alignment horizontal="left"/>
    </xf>
    <xf numFmtId="44" fontId="4" fillId="0" borderId="0" xfId="3" applyFont="1" applyAlignment="1">
      <alignment horizontal="center"/>
    </xf>
    <xf numFmtId="0" fontId="3" fillId="0" borderId="0" xfId="0" applyFont="1" applyAlignment="1">
      <alignment horizontal="right"/>
    </xf>
    <xf numFmtId="0" fontId="3" fillId="0" borderId="0" xfId="0" applyFont="1"/>
    <xf numFmtId="44" fontId="4" fillId="0" borderId="0" xfId="3"/>
    <xf numFmtId="164" fontId="0" fillId="0" borderId="0" xfId="0" applyNumberFormat="1"/>
    <xf numFmtId="0" fontId="0" fillId="0" borderId="0" xfId="0" applyBorder="1" applyAlignment="1">
      <alignment vertical="top" wrapText="1"/>
    </xf>
    <xf numFmtId="0" fontId="0" fillId="0" borderId="0" xfId="0" applyBorder="1" applyAlignment="1">
      <alignment horizontal="center" vertical="top" wrapText="1"/>
    </xf>
    <xf numFmtId="0" fontId="0" fillId="0" borderId="2" xfId="0" applyBorder="1"/>
    <xf numFmtId="2" fontId="0" fillId="0" borderId="0" xfId="0" applyNumberFormat="1" applyAlignment="1">
      <alignment horizontal="center"/>
    </xf>
    <xf numFmtId="44" fontId="5" fillId="0" borderId="0" xfId="3" applyFont="1" applyAlignment="1"/>
    <xf numFmtId="9" fontId="0" fillId="0" borderId="0" xfId="0" applyNumberFormat="1" applyAlignment="1">
      <alignment horizontal="center"/>
    </xf>
    <xf numFmtId="2" fontId="4" fillId="0" borderId="0" xfId="3" applyNumberFormat="1" applyAlignment="1">
      <alignment horizontal="center"/>
    </xf>
    <xf numFmtId="165" fontId="4" fillId="0" borderId="0" xfId="3" applyNumberFormat="1"/>
    <xf numFmtId="0" fontId="0" fillId="0" borderId="0" xfId="0" applyAlignment="1">
      <alignment vertical="center" textRotation="60"/>
    </xf>
    <xf numFmtId="166" fontId="4" fillId="0" borderId="0" xfId="3" applyNumberFormat="1"/>
    <xf numFmtId="167" fontId="4" fillId="0" borderId="0" xfId="3" applyNumberFormat="1"/>
    <xf numFmtId="0" fontId="0" fillId="0" borderId="0" xfId="0" applyAlignment="1">
      <alignment vertical="top"/>
    </xf>
    <xf numFmtId="2" fontId="4" fillId="0" borderId="0" xfId="0" applyNumberFormat="1" applyFont="1" applyAlignment="1">
      <alignment horizontal="right" vertical="top"/>
    </xf>
    <xf numFmtId="44" fontId="4" fillId="0" borderId="0" xfId="3" applyFont="1" applyAlignment="1">
      <alignment vertical="top"/>
    </xf>
    <xf numFmtId="166" fontId="5" fillId="0" borderId="0" xfId="3" applyNumberFormat="1" applyFont="1"/>
    <xf numFmtId="164" fontId="0" fillId="0" borderId="0" xfId="0" applyNumberFormat="1" applyAlignment="1">
      <alignment horizontal="right"/>
    </xf>
    <xf numFmtId="165" fontId="3" fillId="0" borderId="0" xfId="0" applyNumberFormat="1" applyFont="1"/>
    <xf numFmtId="0" fontId="0" fillId="0" borderId="0" xfId="0" applyAlignment="1">
      <alignment horizontal="right"/>
    </xf>
    <xf numFmtId="4" fontId="7" fillId="3" borderId="3" xfId="0" applyNumberFormat="1" applyFont="1" applyFill="1" applyBorder="1" applyAlignment="1">
      <alignment horizontal="center"/>
    </xf>
    <xf numFmtId="0" fontId="8" fillId="0" borderId="0" xfId="0" applyFont="1"/>
    <xf numFmtId="0" fontId="0" fillId="0" borderId="0" xfId="0" applyAlignment="1">
      <alignment horizontal="center"/>
    </xf>
    <xf numFmtId="0" fontId="3" fillId="0" borderId="0" xfId="0" applyFont="1" applyBorder="1" applyAlignment="1">
      <alignment horizontal="right"/>
    </xf>
    <xf numFmtId="44" fontId="10" fillId="0" borderId="4" xfId="0" applyNumberFormat="1" applyFont="1" applyFill="1" applyBorder="1" applyAlignment="1"/>
    <xf numFmtId="0" fontId="0" fillId="0" borderId="5" xfId="0" applyBorder="1"/>
    <xf numFmtId="0" fontId="0" fillId="0" borderId="6" xfId="0" applyBorder="1"/>
    <xf numFmtId="0" fontId="3" fillId="0" borderId="6" xfId="0" applyFont="1" applyBorder="1" applyAlignment="1">
      <alignment horizontal="right"/>
    </xf>
    <xf numFmtId="168" fontId="0" fillId="0" borderId="6" xfId="0" applyNumberFormat="1" applyBorder="1" applyAlignment="1">
      <alignment horizontal="center"/>
    </xf>
    <xf numFmtId="44" fontId="7" fillId="3" borderId="7" xfId="0" applyNumberFormat="1" applyFont="1" applyFill="1" applyBorder="1" applyAlignment="1">
      <alignment horizontal="right"/>
    </xf>
    <xf numFmtId="0" fontId="0" fillId="0" borderId="8" xfId="0" applyBorder="1"/>
    <xf numFmtId="0" fontId="0" fillId="0" borderId="0" xfId="0" applyBorder="1"/>
    <xf numFmtId="0" fontId="0" fillId="0" borderId="9" xfId="0" applyBorder="1"/>
    <xf numFmtId="0" fontId="0" fillId="0" borderId="10" xfId="0" applyBorder="1"/>
    <xf numFmtId="0" fontId="0" fillId="0" borderId="11" xfId="0" applyBorder="1"/>
    <xf numFmtId="0" fontId="3" fillId="0" borderId="11" xfId="0" applyFont="1" applyBorder="1" applyAlignment="1">
      <alignment horizontal="right"/>
    </xf>
    <xf numFmtId="169" fontId="0" fillId="0" borderId="11" xfId="0" applyNumberFormat="1" applyBorder="1" applyAlignment="1">
      <alignment horizontal="center"/>
    </xf>
    <xf numFmtId="170" fontId="7" fillId="3" borderId="12" xfId="0" applyNumberFormat="1" applyFont="1" applyFill="1" applyBorder="1"/>
    <xf numFmtId="171" fontId="0" fillId="0" borderId="0" xfId="0" applyNumberFormat="1" applyBorder="1"/>
    <xf numFmtId="10" fontId="0" fillId="0" borderId="0" xfId="0" applyNumberFormat="1"/>
    <xf numFmtId="171" fontId="2" fillId="0" borderId="0" xfId="0" applyNumberFormat="1" applyFont="1" applyBorder="1"/>
    <xf numFmtId="0" fontId="7" fillId="0" borderId="0" xfId="0" applyFont="1"/>
    <xf numFmtId="0" fontId="11" fillId="0" borderId="0" xfId="0" applyFont="1" applyAlignment="1">
      <alignment horizontal="center"/>
    </xf>
    <xf numFmtId="0" fontId="0" fillId="0" borderId="14" xfId="0" applyBorder="1"/>
    <xf numFmtId="0" fontId="3" fillId="0" borderId="13" xfId="0" applyFont="1" applyBorder="1"/>
    <xf numFmtId="9" fontId="0" fillId="0" borderId="0" xfId="2" applyFont="1" applyAlignment="1">
      <alignment horizontal="center"/>
    </xf>
    <xf numFmtId="0" fontId="13" fillId="0" borderId="0" xfId="0" applyFont="1"/>
    <xf numFmtId="0" fontId="3" fillId="0" borderId="14" xfId="0" applyFont="1" applyBorder="1"/>
    <xf numFmtId="0" fontId="12" fillId="0" borderId="0" xfId="0" applyFont="1" applyAlignment="1">
      <alignment horizontal="center"/>
    </xf>
    <xf numFmtId="2" fontId="3" fillId="0" borderId="13" xfId="0" applyNumberFormat="1" applyFont="1" applyBorder="1"/>
    <xf numFmtId="2" fontId="12" fillId="0" borderId="0" xfId="0" applyNumberFormat="1" applyFont="1" applyAlignment="1">
      <alignment horizontal="center"/>
    </xf>
    <xf numFmtId="2" fontId="0" fillId="0" borderId="0" xfId="0" applyNumberFormat="1"/>
    <xf numFmtId="172" fontId="0" fillId="0" borderId="0" xfId="0" applyNumberFormat="1" applyBorder="1"/>
    <xf numFmtId="0" fontId="3" fillId="0" borderId="0" xfId="0" applyFont="1" applyBorder="1"/>
    <xf numFmtId="171" fontId="15" fillId="0" borderId="0" xfId="0" applyNumberFormat="1" applyFont="1" applyBorder="1"/>
    <xf numFmtId="0" fontId="2" fillId="0" borderId="0" xfId="0" applyFont="1"/>
    <xf numFmtId="0" fontId="0" fillId="0" borderId="0" xfId="0" applyAlignment="1">
      <alignment horizontal="left" indent="1"/>
    </xf>
    <xf numFmtId="8" fontId="0" fillId="0" borderId="0" xfId="0" applyNumberFormat="1" applyAlignment="1">
      <alignment horizontal="center"/>
    </xf>
    <xf numFmtId="0" fontId="18" fillId="3" borderId="0" xfId="0" applyFont="1" applyFill="1"/>
    <xf numFmtId="0" fontId="0" fillId="0" borderId="0" xfId="0" applyAlignment="1">
      <alignment wrapText="1"/>
    </xf>
    <xf numFmtId="0" fontId="0" fillId="0" borderId="0" xfId="0" applyAlignment="1">
      <alignment horizontal="right" wrapText="1"/>
    </xf>
    <xf numFmtId="0" fontId="0" fillId="0" borderId="16" xfId="0" applyBorder="1" applyAlignment="1">
      <alignment horizontal="right" wrapText="1"/>
    </xf>
    <xf numFmtId="0" fontId="19" fillId="0" borderId="0" xfId="0" applyFont="1" applyAlignment="1">
      <alignment horizontal="right" wrapText="1"/>
    </xf>
    <xf numFmtId="0" fontId="20" fillId="0" borderId="0" xfId="0" applyFont="1" applyAlignment="1">
      <alignment horizontal="right" wrapText="1"/>
    </xf>
    <xf numFmtId="0" fontId="21" fillId="0" borderId="0" xfId="0" applyFont="1" applyAlignment="1">
      <alignment horizontal="right" wrapText="1"/>
    </xf>
    <xf numFmtId="0" fontId="2" fillId="4" borderId="18" xfId="0" applyFont="1" applyFill="1" applyBorder="1"/>
    <xf numFmtId="171" fontId="0" fillId="4" borderId="19" xfId="0" applyNumberFormat="1" applyFill="1" applyBorder="1"/>
    <xf numFmtId="171" fontId="15" fillId="4" borderId="20" xfId="0" applyNumberFormat="1" applyFont="1" applyFill="1" applyBorder="1"/>
    <xf numFmtId="0" fontId="3" fillId="0" borderId="0" xfId="0" applyFont="1" applyBorder="1" applyAlignment="1">
      <alignment horizontal="left"/>
    </xf>
    <xf numFmtId="0" fontId="0" fillId="0" borderId="21" xfId="0" applyBorder="1" applyAlignment="1">
      <alignment horizontal="left"/>
    </xf>
    <xf numFmtId="0" fontId="0" fillId="0" borderId="22" xfId="0" applyBorder="1"/>
    <xf numFmtId="0" fontId="22" fillId="0" borderId="21" xfId="0" applyFont="1" applyBorder="1"/>
    <xf numFmtId="0" fontId="0" fillId="0" borderId="23" xfId="0" applyBorder="1"/>
    <xf numFmtId="0" fontId="0" fillId="0" borderId="24" xfId="0" applyBorder="1" applyAlignment="1">
      <alignment horizontal="left"/>
    </xf>
    <xf numFmtId="173" fontId="23" fillId="0" borderId="24" xfId="0" applyNumberFormat="1" applyFont="1" applyBorder="1"/>
    <xf numFmtId="0" fontId="0" fillId="0" borderId="25" xfId="0" applyBorder="1"/>
    <xf numFmtId="1" fontId="23" fillId="0" borderId="24" xfId="0" applyNumberFormat="1" applyFont="1" applyBorder="1" applyAlignment="1">
      <alignment horizontal="right"/>
    </xf>
    <xf numFmtId="0" fontId="0" fillId="0" borderId="0" xfId="0" applyFill="1" applyBorder="1"/>
    <xf numFmtId="0" fontId="24" fillId="0" borderId="24" xfId="0" applyFont="1" applyFill="1" applyBorder="1"/>
    <xf numFmtId="0" fontId="0" fillId="0" borderId="26" xfId="0" applyBorder="1" applyAlignment="1">
      <alignment horizontal="left"/>
    </xf>
    <xf numFmtId="0" fontId="0" fillId="0" borderId="27" xfId="0" applyBorder="1"/>
    <xf numFmtId="2" fontId="25" fillId="0" borderId="26" xfId="0" applyNumberFormat="1" applyFont="1" applyBorder="1"/>
    <xf numFmtId="0" fontId="0" fillId="0" borderId="28" xfId="0" applyBorder="1"/>
    <xf numFmtId="0" fontId="0" fillId="0" borderId="0" xfId="0" applyBorder="1" applyAlignment="1">
      <alignment horizontal="left"/>
    </xf>
    <xf numFmtId="2" fontId="25" fillId="0" borderId="24" xfId="0" applyNumberFormat="1" applyFont="1" applyBorder="1"/>
    <xf numFmtId="0" fontId="26" fillId="0" borderId="24" xfId="0" applyFont="1" applyBorder="1"/>
    <xf numFmtId="0" fontId="23" fillId="0" borderId="21" xfId="0" applyFont="1" applyBorder="1"/>
    <xf numFmtId="1" fontId="0" fillId="0" borderId="24" xfId="0" applyNumberFormat="1" applyBorder="1"/>
    <xf numFmtId="0" fontId="23" fillId="0" borderId="24" xfId="0" applyFont="1" applyBorder="1"/>
    <xf numFmtId="1" fontId="27" fillId="0" borderId="24" xfId="0" applyNumberFormat="1" applyFont="1" applyBorder="1"/>
    <xf numFmtId="2" fontId="3" fillId="0" borderId="24" xfId="0" applyNumberFormat="1" applyFont="1" applyBorder="1"/>
    <xf numFmtId="1" fontId="28" fillId="0" borderId="24" xfId="0" applyNumberFormat="1" applyFont="1" applyBorder="1"/>
    <xf numFmtId="0" fontId="26" fillId="0" borderId="0" xfId="0" applyFont="1" applyBorder="1"/>
    <xf numFmtId="1" fontId="26" fillId="0" borderId="24" xfId="0" applyNumberFormat="1" applyFont="1" applyBorder="1"/>
    <xf numFmtId="0" fontId="25" fillId="0" borderId="24" xfId="0" applyFont="1" applyBorder="1"/>
    <xf numFmtId="1" fontId="25" fillId="0" borderId="24" xfId="0" applyNumberFormat="1" applyFont="1" applyBorder="1"/>
    <xf numFmtId="0" fontId="26" fillId="0" borderId="27" xfId="0" applyFont="1" applyBorder="1"/>
    <xf numFmtId="2" fontId="29" fillId="0" borderId="26" xfId="0" applyNumberFormat="1" applyFont="1" applyBorder="1"/>
    <xf numFmtId="2" fontId="29" fillId="0" borderId="24" xfId="0" applyNumberFormat="1" applyFont="1" applyBorder="1"/>
    <xf numFmtId="0" fontId="26" fillId="0" borderId="22" xfId="0" applyFont="1" applyBorder="1"/>
    <xf numFmtId="1" fontId="28" fillId="0" borderId="21" xfId="0" applyNumberFormat="1" applyFont="1" applyBorder="1"/>
    <xf numFmtId="0" fontId="0" fillId="0" borderId="27" xfId="0" applyFill="1" applyBorder="1"/>
    <xf numFmtId="2" fontId="26" fillId="0" borderId="26" xfId="0" applyNumberFormat="1" applyFont="1" applyBorder="1"/>
    <xf numFmtId="0" fontId="0" fillId="0" borderId="24" xfId="0" applyBorder="1"/>
    <xf numFmtId="0" fontId="26" fillId="0" borderId="29" xfId="0" applyFont="1" applyBorder="1"/>
    <xf numFmtId="0" fontId="0" fillId="0" borderId="30" xfId="0" applyBorder="1"/>
    <xf numFmtId="0" fontId="26" fillId="0" borderId="31" xfId="0" applyFont="1" applyBorder="1"/>
    <xf numFmtId="0" fontId="23" fillId="0" borderId="0" xfId="0" applyFont="1" applyBorder="1"/>
    <xf numFmtId="0" fontId="12" fillId="0" borderId="24" xfId="0" applyFont="1" applyBorder="1"/>
    <xf numFmtId="0" fontId="12" fillId="0" borderId="0" xfId="0" applyFont="1" applyBorder="1"/>
    <xf numFmtId="0" fontId="3" fillId="0" borderId="24" xfId="0" applyFont="1" applyBorder="1"/>
    <xf numFmtId="0" fontId="4" fillId="0" borderId="26" xfId="0" applyFont="1" applyBorder="1"/>
    <xf numFmtId="2" fontId="3" fillId="0" borderId="27" xfId="0" applyNumberFormat="1" applyFont="1" applyBorder="1"/>
    <xf numFmtId="0" fontId="3" fillId="0" borderId="27" xfId="0" applyFont="1" applyBorder="1"/>
    <xf numFmtId="1" fontId="27" fillId="0" borderId="21" xfId="0" applyNumberFormat="1" applyFont="1" applyBorder="1"/>
    <xf numFmtId="1" fontId="27" fillId="0" borderId="22" xfId="0" applyNumberFormat="1" applyFont="1" applyBorder="1"/>
    <xf numFmtId="1" fontId="3" fillId="0" borderId="24" xfId="0" applyNumberFormat="1" applyFont="1" applyBorder="1"/>
    <xf numFmtId="1" fontId="3" fillId="0" borderId="0" xfId="0" applyNumberFormat="1" applyFont="1" applyBorder="1"/>
    <xf numFmtId="2" fontId="12" fillId="0" borderId="32" xfId="0" applyNumberFormat="1" applyFont="1" applyFill="1" applyBorder="1"/>
    <xf numFmtId="2" fontId="12" fillId="0" borderId="33" xfId="0" applyNumberFormat="1" applyFont="1" applyFill="1" applyBorder="1"/>
    <xf numFmtId="0" fontId="11" fillId="0" borderId="27" xfId="0" applyFont="1" applyFill="1" applyBorder="1"/>
    <xf numFmtId="2" fontId="12" fillId="0" borderId="34" xfId="0" applyNumberFormat="1" applyFont="1" applyFill="1" applyBorder="1"/>
    <xf numFmtId="2" fontId="12" fillId="0" borderId="35" xfId="0" applyNumberFormat="1" applyFont="1" applyFill="1" applyBorder="1"/>
    <xf numFmtId="0" fontId="4" fillId="0" borderId="0" xfId="0" applyFont="1" applyBorder="1"/>
    <xf numFmtId="2" fontId="4" fillId="0" borderId="24" xfId="0" applyNumberFormat="1" applyFont="1" applyBorder="1"/>
    <xf numFmtId="2" fontId="4" fillId="0" borderId="0" xfId="0" applyNumberFormat="1" applyFont="1" applyBorder="1"/>
    <xf numFmtId="2" fontId="4" fillId="0" borderId="25" xfId="0" applyNumberFormat="1" applyFont="1" applyBorder="1"/>
    <xf numFmtId="0" fontId="23" fillId="0" borderId="29" xfId="0" applyFont="1" applyBorder="1"/>
    <xf numFmtId="0" fontId="23" fillId="0" borderId="31" xfId="0" applyFont="1" applyBorder="1"/>
    <xf numFmtId="0" fontId="23" fillId="0" borderId="36" xfId="0" applyFont="1" applyBorder="1"/>
    <xf numFmtId="0" fontId="23" fillId="0" borderId="37" xfId="0" applyFont="1" applyBorder="1"/>
    <xf numFmtId="0" fontId="23" fillId="5" borderId="24" xfId="0" applyFont="1" applyFill="1" applyBorder="1"/>
    <xf numFmtId="0" fontId="23" fillId="6" borderId="0" xfId="0" applyFont="1" applyFill="1" applyBorder="1"/>
    <xf numFmtId="0" fontId="23" fillId="5" borderId="0" xfId="0" applyFont="1" applyFill="1" applyBorder="1"/>
    <xf numFmtId="0" fontId="23" fillId="6" borderId="25" xfId="0" applyFont="1" applyFill="1" applyBorder="1"/>
    <xf numFmtId="173" fontId="23" fillId="0" borderId="0" xfId="0" applyNumberFormat="1" applyFont="1" applyBorder="1"/>
    <xf numFmtId="173" fontId="23" fillId="0" borderId="25" xfId="0" applyNumberFormat="1" applyFont="1" applyBorder="1"/>
    <xf numFmtId="2" fontId="23" fillId="0" borderId="24" xfId="0" applyNumberFormat="1" applyFont="1" applyBorder="1"/>
    <xf numFmtId="2" fontId="23" fillId="0" borderId="0" xfId="0" applyNumberFormat="1" applyFont="1" applyBorder="1"/>
    <xf numFmtId="2" fontId="23" fillId="0" borderId="25" xfId="0" applyNumberFormat="1" applyFont="1" applyBorder="1"/>
    <xf numFmtId="0" fontId="4" fillId="0" borderId="24" xfId="0" applyFont="1" applyBorder="1" applyAlignment="1">
      <alignment horizontal="left"/>
    </xf>
    <xf numFmtId="2" fontId="3" fillId="0" borderId="0" xfId="0" applyNumberFormat="1" applyFont="1" applyBorder="1"/>
    <xf numFmtId="2" fontId="3" fillId="0" borderId="25" xfId="0" applyNumberFormat="1" applyFont="1" applyBorder="1"/>
    <xf numFmtId="2" fontId="0" fillId="0" borderId="24" xfId="0" applyNumberFormat="1" applyBorder="1"/>
    <xf numFmtId="2" fontId="0" fillId="0" borderId="0" xfId="0" applyNumberFormat="1" applyBorder="1"/>
    <xf numFmtId="2" fontId="0" fillId="0" borderId="25" xfId="0" applyNumberFormat="1" applyBorder="1"/>
    <xf numFmtId="2" fontId="12" fillId="0" borderId="25" xfId="0" applyNumberFormat="1" applyFont="1" applyBorder="1"/>
    <xf numFmtId="2" fontId="12" fillId="0" borderId="24" xfId="0" applyNumberFormat="1" applyFont="1" applyBorder="1"/>
    <xf numFmtId="2" fontId="12" fillId="0" borderId="0" xfId="0" applyNumberFormat="1" applyFont="1" applyBorder="1"/>
    <xf numFmtId="0" fontId="23" fillId="0" borderId="25" xfId="0" applyFont="1" applyBorder="1"/>
    <xf numFmtId="1" fontId="0" fillId="0" borderId="0" xfId="0" applyNumberFormat="1" applyBorder="1"/>
    <xf numFmtId="1" fontId="0" fillId="0" borderId="25" xfId="0" applyNumberFormat="1" applyBorder="1"/>
    <xf numFmtId="0" fontId="23" fillId="0" borderId="0" xfId="0" applyFont="1" applyFill="1" applyBorder="1"/>
    <xf numFmtId="0" fontId="23" fillId="0" borderId="24" xfId="0" applyFont="1" applyFill="1" applyBorder="1"/>
    <xf numFmtId="0" fontId="23" fillId="0" borderId="25" xfId="0" applyFont="1" applyFill="1" applyBorder="1"/>
    <xf numFmtId="0" fontId="0" fillId="0" borderId="28" xfId="0" applyFill="1" applyBorder="1"/>
    <xf numFmtId="2" fontId="3" fillId="5" borderId="26" xfId="0" applyNumberFormat="1" applyFont="1" applyFill="1" applyBorder="1"/>
    <xf numFmtId="2" fontId="3" fillId="6" borderId="27" xfId="0" applyNumberFormat="1" applyFont="1" applyFill="1" applyBorder="1"/>
    <xf numFmtId="2" fontId="3" fillId="5" borderId="27" xfId="0" applyNumberFormat="1" applyFont="1" applyFill="1" applyBorder="1"/>
    <xf numFmtId="2" fontId="3" fillId="6" borderId="28" xfId="0" applyNumberFormat="1" applyFont="1" applyFill="1" applyBorder="1"/>
    <xf numFmtId="0" fontId="2" fillId="0" borderId="15" xfId="0" applyFont="1" applyBorder="1"/>
    <xf numFmtId="0" fontId="2" fillId="0" borderId="0" xfId="0" applyFont="1" applyBorder="1"/>
    <xf numFmtId="44" fontId="2" fillId="4" borderId="0" xfId="1" applyFont="1" applyFill="1"/>
    <xf numFmtId="2" fontId="2" fillId="0" borderId="0" xfId="0" applyNumberFormat="1" applyFont="1" applyAlignment="1">
      <alignment horizontal="center"/>
    </xf>
    <xf numFmtId="8" fontId="2" fillId="0" borderId="0" xfId="0" applyNumberFormat="1" applyFont="1" applyAlignment="1">
      <alignment horizontal="center"/>
    </xf>
    <xf numFmtId="2" fontId="3" fillId="0" borderId="0" xfId="3" applyNumberFormat="1" applyFont="1" applyAlignment="1">
      <alignment horizontal="center"/>
    </xf>
    <xf numFmtId="165" fontId="3" fillId="0" borderId="0" xfId="3" applyNumberFormat="1" applyFont="1"/>
    <xf numFmtId="9" fontId="2" fillId="0" borderId="0" xfId="0" applyNumberFormat="1" applyFont="1"/>
    <xf numFmtId="171" fontId="2" fillId="0" borderId="0" xfId="0" applyNumberFormat="1" applyFont="1"/>
    <xf numFmtId="0" fontId="0" fillId="0" borderId="38"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2" fillId="2" borderId="1" xfId="0" applyFont="1" applyFill="1" applyBorder="1" applyAlignment="1">
      <alignment horizontal="left"/>
    </xf>
    <xf numFmtId="171" fontId="14" fillId="2" borderId="1" xfId="1" applyNumberFormat="1" applyFont="1" applyFill="1" applyBorder="1"/>
    <xf numFmtId="0" fontId="0" fillId="0" borderId="0" xfId="0" applyAlignment="1">
      <alignment horizontal="left"/>
    </xf>
    <xf numFmtId="0" fontId="0" fillId="0" borderId="0" xfId="0" applyAlignment="1">
      <alignment horizontal="center" vertical="center" textRotation="70"/>
    </xf>
    <xf numFmtId="44" fontId="0" fillId="0" borderId="0" xfId="3" applyFont="1" applyAlignment="1">
      <alignment horizontal="center"/>
    </xf>
    <xf numFmtId="0" fontId="0" fillId="0" borderId="0" xfId="0" applyAlignment="1">
      <alignment wrapText="1"/>
    </xf>
    <xf numFmtId="0" fontId="2" fillId="0" borderId="15" xfId="0" applyFont="1" applyBorder="1" applyAlignment="1">
      <alignment wrapText="1"/>
    </xf>
    <xf numFmtId="0" fontId="2" fillId="0" borderId="17" xfId="0" applyFont="1" applyBorder="1" applyAlignment="1">
      <alignment horizontal="left" wrapText="1"/>
    </xf>
    <xf numFmtId="0" fontId="2" fillId="0" borderId="0" xfId="0" applyFont="1" applyAlignment="1">
      <alignment wrapText="1"/>
    </xf>
    <xf numFmtId="0" fontId="0" fillId="0" borderId="38" xfId="0" applyBorder="1" applyAlignment="1">
      <alignment wrapText="1"/>
    </xf>
    <xf numFmtId="0" fontId="0" fillId="0" borderId="39" xfId="0" applyBorder="1" applyAlignment="1">
      <alignment wrapText="1"/>
    </xf>
    <xf numFmtId="0" fontId="0" fillId="0" borderId="40" xfId="0" applyBorder="1" applyAlignment="1">
      <alignment wrapText="1"/>
    </xf>
    <xf numFmtId="44" fontId="3" fillId="0" borderId="0" xfId="0" applyNumberFormat="1" applyFont="1" applyAlignment="1"/>
    <xf numFmtId="0" fontId="0" fillId="0" borderId="0" xfId="0" applyAlignment="1"/>
  </cellXfs>
  <cellStyles count="4">
    <cellStyle name="Euro" xfId="3"/>
    <cellStyle name="Prozent" xfId="2" builtinId="5"/>
    <cellStyle name="Standard" xfId="0" builtinId="0"/>
    <cellStyle name="Währung"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19050</xdr:colOff>
      <xdr:row>42</xdr:row>
      <xdr:rowOff>85725</xdr:rowOff>
    </xdr:from>
    <xdr:to>
      <xdr:col>8</xdr:col>
      <xdr:colOff>0</xdr:colOff>
      <xdr:row>42</xdr:row>
      <xdr:rowOff>85725</xdr:rowOff>
    </xdr:to>
    <xdr:sp macro="" textlink="">
      <xdr:nvSpPr>
        <xdr:cNvPr id="2" name="Line 5"/>
        <xdr:cNvSpPr>
          <a:spLocks noChangeShapeType="1"/>
        </xdr:cNvSpPr>
      </xdr:nvSpPr>
      <xdr:spPr bwMode="auto">
        <a:xfrm flipH="1">
          <a:off x="5638800" y="6400800"/>
          <a:ext cx="180975" cy="0"/>
        </a:xfrm>
        <a:prstGeom prst="line">
          <a:avLst/>
        </a:prstGeom>
        <a:noFill/>
        <a:ln w="9525">
          <a:solidFill>
            <a:srgbClr val="000000"/>
          </a:solidFill>
          <a:round/>
          <a:headEnd/>
          <a:tailEnd type="triangle" w="med" len="med"/>
        </a:ln>
      </xdr:spPr>
    </xdr:sp>
    <xdr:clientData/>
  </xdr:twoCellAnchor>
  <xdr:twoCellAnchor>
    <xdr:from>
      <xdr:col>6</xdr:col>
      <xdr:colOff>352425</xdr:colOff>
      <xdr:row>25</xdr:row>
      <xdr:rowOff>19050</xdr:rowOff>
    </xdr:from>
    <xdr:to>
      <xdr:col>6</xdr:col>
      <xdr:colOff>933450</xdr:colOff>
      <xdr:row>33</xdr:row>
      <xdr:rowOff>28575</xdr:rowOff>
    </xdr:to>
    <xdr:sp macro="" textlink="">
      <xdr:nvSpPr>
        <xdr:cNvPr id="3" name="Rectangle 7"/>
        <xdr:cNvSpPr>
          <a:spLocks noChangeArrowheads="1"/>
        </xdr:cNvSpPr>
      </xdr:nvSpPr>
      <xdr:spPr bwMode="auto">
        <a:xfrm>
          <a:off x="4991100" y="4067175"/>
          <a:ext cx="581025" cy="1343025"/>
        </a:xfrm>
        <a:prstGeom prst="rect">
          <a:avLst/>
        </a:prstGeom>
        <a:noFill/>
        <a:ln w="9525" cap="rnd">
          <a:solidFill>
            <a:srgbClr val="000000"/>
          </a:solidFill>
          <a:prstDash val="sysDot"/>
          <a:miter lim="800000"/>
          <a:headEnd/>
          <a:tailEnd/>
        </a:ln>
      </xdr:spPr>
    </xdr:sp>
    <xdr:clientData/>
  </xdr:twoCellAnchor>
  <xdr:twoCellAnchor>
    <xdr:from>
      <xdr:col>6</xdr:col>
      <xdr:colOff>733425</xdr:colOff>
      <xdr:row>33</xdr:row>
      <xdr:rowOff>38100</xdr:rowOff>
    </xdr:from>
    <xdr:to>
      <xdr:col>6</xdr:col>
      <xdr:colOff>733425</xdr:colOff>
      <xdr:row>39</xdr:row>
      <xdr:rowOff>38100</xdr:rowOff>
    </xdr:to>
    <xdr:sp macro="" textlink="">
      <xdr:nvSpPr>
        <xdr:cNvPr id="4" name="Line 8"/>
        <xdr:cNvSpPr>
          <a:spLocks noChangeShapeType="1"/>
        </xdr:cNvSpPr>
      </xdr:nvSpPr>
      <xdr:spPr bwMode="auto">
        <a:xfrm>
          <a:off x="5372100" y="5419725"/>
          <a:ext cx="0" cy="647700"/>
        </a:xfrm>
        <a:prstGeom prst="line">
          <a:avLst/>
        </a:prstGeom>
        <a:noFill/>
        <a:ln w="9525" cap="rnd">
          <a:solidFill>
            <a:srgbClr val="000000"/>
          </a:solidFill>
          <a:prstDash val="sysDot"/>
          <a:round/>
          <a:headEnd/>
          <a:tailEnd type="triangle" w="med" len="med"/>
        </a:ln>
      </xdr:spPr>
    </xdr:sp>
    <xdr:clientData/>
  </xdr:twoCellAnchor>
  <xdr:twoCellAnchor>
    <xdr:from>
      <xdr:col>8</xdr:col>
      <xdr:colOff>9525</xdr:colOff>
      <xdr:row>19</xdr:row>
      <xdr:rowOff>85725</xdr:rowOff>
    </xdr:from>
    <xdr:to>
      <xdr:col>8</xdr:col>
      <xdr:colOff>9525</xdr:colOff>
      <xdr:row>42</xdr:row>
      <xdr:rowOff>85725</xdr:rowOff>
    </xdr:to>
    <xdr:sp macro="" textlink="">
      <xdr:nvSpPr>
        <xdr:cNvPr id="5" name="Line 9"/>
        <xdr:cNvSpPr>
          <a:spLocks noChangeShapeType="1"/>
        </xdr:cNvSpPr>
      </xdr:nvSpPr>
      <xdr:spPr bwMode="auto">
        <a:xfrm>
          <a:off x="5829300" y="2990850"/>
          <a:ext cx="0" cy="3409950"/>
        </a:xfrm>
        <a:prstGeom prst="line">
          <a:avLst/>
        </a:prstGeom>
        <a:noFill/>
        <a:ln w="9525">
          <a:solidFill>
            <a:srgbClr val="000000"/>
          </a:solidFill>
          <a:round/>
          <a:headEnd/>
          <a:tailEnd/>
        </a:ln>
      </xdr:spPr>
    </xdr:sp>
    <xdr:clientData/>
  </xdr:twoCellAnchor>
  <xdr:twoCellAnchor>
    <xdr:from>
      <xdr:col>7</xdr:col>
      <xdr:colOff>38100</xdr:colOff>
      <xdr:row>19</xdr:row>
      <xdr:rowOff>85725</xdr:rowOff>
    </xdr:from>
    <xdr:to>
      <xdr:col>8</xdr:col>
      <xdr:colOff>9525</xdr:colOff>
      <xdr:row>19</xdr:row>
      <xdr:rowOff>85725</xdr:rowOff>
    </xdr:to>
    <xdr:sp macro="" textlink="">
      <xdr:nvSpPr>
        <xdr:cNvPr id="6" name="Line 10"/>
        <xdr:cNvSpPr>
          <a:spLocks noChangeShapeType="1"/>
        </xdr:cNvSpPr>
      </xdr:nvSpPr>
      <xdr:spPr bwMode="auto">
        <a:xfrm flipH="1">
          <a:off x="5657850" y="2990850"/>
          <a:ext cx="171450" cy="0"/>
        </a:xfrm>
        <a:prstGeom prst="line">
          <a:avLst/>
        </a:prstGeom>
        <a:noFill/>
        <a:ln w="9525">
          <a:solidFill>
            <a:srgbClr val="000000"/>
          </a:solidFill>
          <a:round/>
          <a:headEnd/>
          <a:tailEnd/>
        </a:ln>
      </xdr:spPr>
    </xdr:sp>
    <xdr:clientData/>
  </xdr:twoCellAnchor>
  <xdr:twoCellAnchor>
    <xdr:from>
      <xdr:col>7</xdr:col>
      <xdr:colOff>66675</xdr:colOff>
      <xdr:row>40</xdr:row>
      <xdr:rowOff>85725</xdr:rowOff>
    </xdr:from>
    <xdr:to>
      <xdr:col>8</xdr:col>
      <xdr:colOff>9525</xdr:colOff>
      <xdr:row>40</xdr:row>
      <xdr:rowOff>85725</xdr:rowOff>
    </xdr:to>
    <xdr:sp macro="" textlink="">
      <xdr:nvSpPr>
        <xdr:cNvPr id="7" name="Line 11"/>
        <xdr:cNvSpPr>
          <a:spLocks noChangeShapeType="1"/>
        </xdr:cNvSpPr>
      </xdr:nvSpPr>
      <xdr:spPr bwMode="auto">
        <a:xfrm>
          <a:off x="5686425" y="6172200"/>
          <a:ext cx="142875" cy="0"/>
        </a:xfrm>
        <a:prstGeom prst="line">
          <a:avLst/>
        </a:prstGeom>
        <a:noFill/>
        <a:ln w="9525">
          <a:solidFill>
            <a:srgbClr val="000000"/>
          </a:solidFill>
          <a:round/>
          <a:headEnd/>
          <a:tailEnd/>
        </a:ln>
      </xdr:spPr>
    </xdr:sp>
    <xdr:clientData/>
  </xdr:twoCellAnchor>
  <xdr:twoCellAnchor>
    <xdr:from>
      <xdr:col>0</xdr:col>
      <xdr:colOff>152399</xdr:colOff>
      <xdr:row>27</xdr:row>
      <xdr:rowOff>85726</xdr:rowOff>
    </xdr:from>
    <xdr:to>
      <xdr:col>0</xdr:col>
      <xdr:colOff>161924</xdr:colOff>
      <xdr:row>48</xdr:row>
      <xdr:rowOff>85726</xdr:rowOff>
    </xdr:to>
    <xdr:sp macro="" textlink="">
      <xdr:nvSpPr>
        <xdr:cNvPr id="8" name="Line 12"/>
        <xdr:cNvSpPr>
          <a:spLocks noChangeShapeType="1"/>
        </xdr:cNvSpPr>
      </xdr:nvSpPr>
      <xdr:spPr bwMode="auto">
        <a:xfrm flipH="1">
          <a:off x="152399" y="4352926"/>
          <a:ext cx="9525" cy="3162300"/>
        </a:xfrm>
        <a:prstGeom prst="line">
          <a:avLst/>
        </a:prstGeom>
        <a:noFill/>
        <a:ln w="9525">
          <a:solidFill>
            <a:srgbClr val="000000"/>
          </a:solidFill>
          <a:round/>
          <a:headEnd/>
          <a:tailEnd/>
        </a:ln>
      </xdr:spPr>
    </xdr:sp>
    <xdr:clientData/>
  </xdr:twoCellAnchor>
  <xdr:twoCellAnchor>
    <xdr:from>
      <xdr:col>0</xdr:col>
      <xdr:colOff>152400</xdr:colOff>
      <xdr:row>27</xdr:row>
      <xdr:rowOff>85725</xdr:rowOff>
    </xdr:from>
    <xdr:to>
      <xdr:col>0</xdr:col>
      <xdr:colOff>295275</xdr:colOff>
      <xdr:row>27</xdr:row>
      <xdr:rowOff>85725</xdr:rowOff>
    </xdr:to>
    <xdr:sp macro="" textlink="">
      <xdr:nvSpPr>
        <xdr:cNvPr id="9" name="Line 13"/>
        <xdr:cNvSpPr>
          <a:spLocks noChangeShapeType="1"/>
        </xdr:cNvSpPr>
      </xdr:nvSpPr>
      <xdr:spPr bwMode="auto">
        <a:xfrm>
          <a:off x="152400" y="4352925"/>
          <a:ext cx="142875" cy="0"/>
        </a:xfrm>
        <a:prstGeom prst="line">
          <a:avLst/>
        </a:prstGeom>
        <a:noFill/>
        <a:ln w="9525">
          <a:solidFill>
            <a:srgbClr val="000000"/>
          </a:solidFill>
          <a:round/>
          <a:headEnd/>
          <a:tailEnd/>
        </a:ln>
      </xdr:spPr>
    </xdr:sp>
    <xdr:clientData/>
  </xdr:twoCellAnchor>
  <xdr:twoCellAnchor>
    <xdr:from>
      <xdr:col>0</xdr:col>
      <xdr:colOff>152400</xdr:colOff>
      <xdr:row>48</xdr:row>
      <xdr:rowOff>85725</xdr:rowOff>
    </xdr:from>
    <xdr:to>
      <xdr:col>0</xdr:col>
      <xdr:colOff>295275</xdr:colOff>
      <xdr:row>48</xdr:row>
      <xdr:rowOff>85725</xdr:rowOff>
    </xdr:to>
    <xdr:sp macro="" textlink="">
      <xdr:nvSpPr>
        <xdr:cNvPr id="10" name="Line 14"/>
        <xdr:cNvSpPr>
          <a:spLocks noChangeShapeType="1"/>
        </xdr:cNvSpPr>
      </xdr:nvSpPr>
      <xdr:spPr bwMode="auto">
        <a:xfrm>
          <a:off x="152400" y="7496175"/>
          <a:ext cx="14287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control" Target="../activeX/activeX1.xml"/><Relationship Id="rId7" Type="http://schemas.openxmlformats.org/officeDocument/2006/relationships/control" Target="../activeX/activeX5.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ntrol" Target="../activeX/activeX4.xml"/><Relationship Id="rId11" Type="http://schemas.openxmlformats.org/officeDocument/2006/relationships/control" Target="../activeX/activeX9.xml"/><Relationship Id="rId5" Type="http://schemas.openxmlformats.org/officeDocument/2006/relationships/control" Target="../activeX/activeX3.xml"/><Relationship Id="rId10" Type="http://schemas.openxmlformats.org/officeDocument/2006/relationships/control" Target="../activeX/activeX8.xml"/><Relationship Id="rId4" Type="http://schemas.openxmlformats.org/officeDocument/2006/relationships/control" Target="../activeX/activeX2.xml"/><Relationship Id="rId9" Type="http://schemas.openxmlformats.org/officeDocument/2006/relationships/control" Target="../activeX/activeX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workbookViewId="0">
      <selection activeCell="C30" sqref="C30"/>
    </sheetView>
  </sheetViews>
  <sheetFormatPr baseColWidth="10" defaultRowHeight="15"/>
  <cols>
    <col min="1" max="1" width="32.5703125" customWidth="1"/>
    <col min="3" max="3" width="13" bestFit="1" customWidth="1"/>
    <col min="4" max="4" width="16.85546875" bestFit="1" customWidth="1"/>
  </cols>
  <sheetData>
    <row r="1" spans="1:5">
      <c r="B1" s="70" t="s">
        <v>44</v>
      </c>
      <c r="C1" s="70" t="s">
        <v>45</v>
      </c>
    </row>
    <row r="2" spans="1:5">
      <c r="A2" t="s">
        <v>242</v>
      </c>
      <c r="B2" s="191">
        <v>5741.12</v>
      </c>
      <c r="C2" s="53">
        <f>B2*13</f>
        <v>74634.559999999998</v>
      </c>
      <c r="D2" s="190" t="s">
        <v>240</v>
      </c>
      <c r="E2" t="s">
        <v>241</v>
      </c>
    </row>
    <row r="3" spans="1:5">
      <c r="A3" t="s">
        <v>46</v>
      </c>
      <c r="B3" s="53">
        <v>603.45000000000005</v>
      </c>
      <c r="C3" s="53">
        <f>B3*12</f>
        <v>7241.4000000000005</v>
      </c>
      <c r="D3" t="s">
        <v>47</v>
      </c>
    </row>
    <row r="4" spans="1:5">
      <c r="A4" t="s">
        <v>48</v>
      </c>
      <c r="B4" s="53">
        <f>B2*E4</f>
        <v>1073.58944</v>
      </c>
      <c r="C4" s="53">
        <f>B4*12</f>
        <v>12883.073280000001</v>
      </c>
      <c r="D4" t="s">
        <v>49</v>
      </c>
      <c r="E4" s="54">
        <v>0.187</v>
      </c>
    </row>
    <row r="5" spans="1:5">
      <c r="A5" t="s">
        <v>50</v>
      </c>
      <c r="B5" s="53">
        <v>300</v>
      </c>
      <c r="C5" s="53">
        <f>B5*12</f>
        <v>3600</v>
      </c>
    </row>
    <row r="6" spans="1:5">
      <c r="B6" s="53"/>
      <c r="C6" s="53"/>
    </row>
    <row r="7" spans="1:5">
      <c r="A7" t="s">
        <v>51</v>
      </c>
      <c r="B7" s="53">
        <v>700</v>
      </c>
      <c r="C7" s="53">
        <f>B7*12</f>
        <v>8400</v>
      </c>
    </row>
    <row r="8" spans="1:5">
      <c r="A8" t="s">
        <v>52</v>
      </c>
      <c r="B8" s="53">
        <v>150</v>
      </c>
      <c r="C8" s="53">
        <f t="shared" ref="C8:C9" si="0">B8*12</f>
        <v>1800</v>
      </c>
    </row>
    <row r="9" spans="1:5">
      <c r="A9" t="s">
        <v>53</v>
      </c>
      <c r="B9" s="53">
        <v>400</v>
      </c>
      <c r="C9" s="53">
        <f t="shared" si="0"/>
        <v>4800</v>
      </c>
    </row>
    <row r="10" spans="1:5">
      <c r="A10" t="s">
        <v>55</v>
      </c>
      <c r="B10" s="53"/>
      <c r="C10" s="53">
        <v>1000</v>
      </c>
    </row>
    <row r="11" spans="1:5">
      <c r="A11" t="s">
        <v>54</v>
      </c>
      <c r="C11" s="53">
        <v>3000</v>
      </c>
    </row>
    <row r="12" spans="1:5">
      <c r="A12" t="s">
        <v>56</v>
      </c>
      <c r="B12" s="53"/>
      <c r="C12" s="53">
        <v>1000</v>
      </c>
    </row>
    <row r="13" spans="1:5">
      <c r="A13" t="s">
        <v>13</v>
      </c>
      <c r="B13" s="53"/>
      <c r="C13" s="53">
        <v>1000</v>
      </c>
    </row>
    <row r="14" spans="1:5">
      <c r="A14" t="s">
        <v>14</v>
      </c>
      <c r="B14" s="53"/>
      <c r="C14" s="53">
        <v>500</v>
      </c>
    </row>
    <row r="15" spans="1:5">
      <c r="A15" t="s">
        <v>15</v>
      </c>
      <c r="B15" s="53"/>
      <c r="C15" s="53">
        <v>500</v>
      </c>
    </row>
    <row r="16" spans="1:5">
      <c r="A16" t="s">
        <v>16</v>
      </c>
      <c r="B16" s="53"/>
      <c r="C16" s="53">
        <v>500</v>
      </c>
    </row>
    <row r="17" spans="1:3">
      <c r="B17" s="53"/>
      <c r="C17" s="53"/>
    </row>
    <row r="18" spans="1:3">
      <c r="B18" s="53"/>
      <c r="C18" s="55">
        <f>SUM(C2:C16)</f>
        <v>120859.03327999999</v>
      </c>
    </row>
    <row r="19" spans="1:3">
      <c r="B19" s="53"/>
      <c r="C19" s="53"/>
    </row>
    <row r="20" spans="1:3">
      <c r="A20" t="s">
        <v>243</v>
      </c>
      <c r="B20" s="67">
        <f>'Stunden pro a'!C26</f>
        <v>122.66666666666667</v>
      </c>
      <c r="C20" s="67">
        <f>'Stunden pro a'!C17</f>
        <v>1696</v>
      </c>
    </row>
    <row r="21" spans="1:3">
      <c r="B21" s="53"/>
      <c r="C21" s="53"/>
    </row>
    <row r="22" spans="1:3" ht="17.25">
      <c r="A22" t="s">
        <v>114</v>
      </c>
      <c r="B22" s="53"/>
      <c r="C22" s="69">
        <f>C18/C20</f>
        <v>71.261222452830182</v>
      </c>
    </row>
    <row r="23" spans="1:3">
      <c r="B23" s="53"/>
      <c r="C23" s="53"/>
    </row>
    <row r="24" spans="1:3">
      <c r="A24" s="70" t="s">
        <v>76</v>
      </c>
      <c r="B24" s="53"/>
      <c r="C24" s="53"/>
    </row>
    <row r="25" spans="1:3">
      <c r="A25" s="71" t="s">
        <v>73</v>
      </c>
      <c r="B25" s="53"/>
      <c r="C25" s="53"/>
    </row>
    <row r="26" spans="1:3">
      <c r="A26" s="71" t="s">
        <v>74</v>
      </c>
    </row>
    <row r="27" spans="1:3">
      <c r="A27" s="71" t="s">
        <v>75</v>
      </c>
    </row>
    <row r="28" spans="1:3">
      <c r="A28" s="182">
        <v>0.1</v>
      </c>
      <c r="B28" s="70"/>
      <c r="C28" s="183">
        <f>C22*A28</f>
        <v>7.1261222452830184</v>
      </c>
    </row>
    <row r="29" spans="1:3" ht="15.75" thickBot="1"/>
    <row r="30" spans="1:3" ht="18" thickBot="1">
      <c r="A30" s="80" t="s">
        <v>115</v>
      </c>
      <c r="B30" s="81"/>
      <c r="C30" s="82">
        <f>C22+C28</f>
        <v>78.387344698113196</v>
      </c>
    </row>
  </sheetData>
  <pageMargins left="0.70866141732283472" right="0.70866141732283472" top="0.78740157480314965" bottom="0.78740157480314965" header="0.31496062992125984" footer="0.31496062992125984"/>
  <pageSetup paperSize="9" scale="92" orientation="portrait" horizontalDpi="300" verticalDpi="300" r:id="rId1"/>
  <headerFooter>
    <oddHeader>&amp;C&amp;A</oddHeader>
    <oddFooter>&amp;L&amp;D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N60"/>
  <sheetViews>
    <sheetView tabSelected="1" topLeftCell="A22" workbookViewId="0">
      <selection activeCell="K32" sqref="K32"/>
    </sheetView>
  </sheetViews>
  <sheetFormatPr baseColWidth="10" defaultRowHeight="15"/>
  <cols>
    <col min="1" max="1" width="5" customWidth="1"/>
    <col min="2" max="2" width="38.42578125" customWidth="1"/>
    <col min="3" max="3" width="12.85546875" customWidth="1"/>
    <col min="4" max="4" width="13.85546875" customWidth="1"/>
    <col min="5" max="5" width="11.5703125" customWidth="1"/>
    <col min="6" max="6" width="9.85546875" customWidth="1"/>
    <col min="7" max="7" width="14.7109375" customWidth="1"/>
    <col min="8" max="8" width="3" customWidth="1"/>
    <col min="9" max="9" width="2.7109375" customWidth="1"/>
    <col min="257" max="257" width="5" customWidth="1"/>
    <col min="258" max="258" width="17.28515625" customWidth="1"/>
    <col min="259" max="259" width="12.85546875" customWidth="1"/>
    <col min="260" max="260" width="13.85546875" customWidth="1"/>
    <col min="261" max="261" width="10.7109375" customWidth="1"/>
    <col min="262" max="262" width="9.85546875" customWidth="1"/>
    <col min="263" max="263" width="14.7109375" customWidth="1"/>
    <col min="264" max="264" width="3" customWidth="1"/>
    <col min="265" max="265" width="2.7109375" customWidth="1"/>
    <col min="513" max="513" width="5" customWidth="1"/>
    <col min="514" max="514" width="17.28515625" customWidth="1"/>
    <col min="515" max="515" width="12.85546875" customWidth="1"/>
    <col min="516" max="516" width="13.85546875" customWidth="1"/>
    <col min="517" max="517" width="10.7109375" customWidth="1"/>
    <col min="518" max="518" width="9.85546875" customWidth="1"/>
    <col min="519" max="519" width="14.7109375" customWidth="1"/>
    <col min="520" max="520" width="3" customWidth="1"/>
    <col min="521" max="521" width="2.7109375" customWidth="1"/>
    <col min="769" max="769" width="5" customWidth="1"/>
    <col min="770" max="770" width="17.28515625" customWidth="1"/>
    <col min="771" max="771" width="12.85546875" customWidth="1"/>
    <col min="772" max="772" width="13.85546875" customWidth="1"/>
    <col min="773" max="773" width="10.7109375" customWidth="1"/>
    <col min="774" max="774" width="9.85546875" customWidth="1"/>
    <col min="775" max="775" width="14.7109375" customWidth="1"/>
    <col min="776" max="776" width="3" customWidth="1"/>
    <col min="777" max="777" width="2.7109375" customWidth="1"/>
    <col min="1025" max="1025" width="5" customWidth="1"/>
    <col min="1026" max="1026" width="17.28515625" customWidth="1"/>
    <col min="1027" max="1027" width="12.85546875" customWidth="1"/>
    <col min="1028" max="1028" width="13.85546875" customWidth="1"/>
    <col min="1029" max="1029" width="10.7109375" customWidth="1"/>
    <col min="1030" max="1030" width="9.85546875" customWidth="1"/>
    <col min="1031" max="1031" width="14.7109375" customWidth="1"/>
    <col min="1032" max="1032" width="3" customWidth="1"/>
    <col min="1033" max="1033" width="2.7109375" customWidth="1"/>
    <col min="1281" max="1281" width="5" customWidth="1"/>
    <col min="1282" max="1282" width="17.28515625" customWidth="1"/>
    <col min="1283" max="1283" width="12.85546875" customWidth="1"/>
    <col min="1284" max="1284" width="13.85546875" customWidth="1"/>
    <col min="1285" max="1285" width="10.7109375" customWidth="1"/>
    <col min="1286" max="1286" width="9.85546875" customWidth="1"/>
    <col min="1287" max="1287" width="14.7109375" customWidth="1"/>
    <col min="1288" max="1288" width="3" customWidth="1"/>
    <col min="1289" max="1289" width="2.7109375" customWidth="1"/>
    <col min="1537" max="1537" width="5" customWidth="1"/>
    <col min="1538" max="1538" width="17.28515625" customWidth="1"/>
    <col min="1539" max="1539" width="12.85546875" customWidth="1"/>
    <col min="1540" max="1540" width="13.85546875" customWidth="1"/>
    <col min="1541" max="1541" width="10.7109375" customWidth="1"/>
    <col min="1542" max="1542" width="9.85546875" customWidth="1"/>
    <col min="1543" max="1543" width="14.7109375" customWidth="1"/>
    <col min="1544" max="1544" width="3" customWidth="1"/>
    <col min="1545" max="1545" width="2.7109375" customWidth="1"/>
    <col min="1793" max="1793" width="5" customWidth="1"/>
    <col min="1794" max="1794" width="17.28515625" customWidth="1"/>
    <col min="1795" max="1795" width="12.85546875" customWidth="1"/>
    <col min="1796" max="1796" width="13.85546875" customWidth="1"/>
    <col min="1797" max="1797" width="10.7109375" customWidth="1"/>
    <col min="1798" max="1798" width="9.85546875" customWidth="1"/>
    <col min="1799" max="1799" width="14.7109375" customWidth="1"/>
    <col min="1800" max="1800" width="3" customWidth="1"/>
    <col min="1801" max="1801" width="2.7109375" customWidth="1"/>
    <col min="2049" max="2049" width="5" customWidth="1"/>
    <col min="2050" max="2050" width="17.28515625" customWidth="1"/>
    <col min="2051" max="2051" width="12.85546875" customWidth="1"/>
    <col min="2052" max="2052" width="13.85546875" customWidth="1"/>
    <col min="2053" max="2053" width="10.7109375" customWidth="1"/>
    <col min="2054" max="2054" width="9.85546875" customWidth="1"/>
    <col min="2055" max="2055" width="14.7109375" customWidth="1"/>
    <col min="2056" max="2056" width="3" customWidth="1"/>
    <col min="2057" max="2057" width="2.7109375" customWidth="1"/>
    <col min="2305" max="2305" width="5" customWidth="1"/>
    <col min="2306" max="2306" width="17.28515625" customWidth="1"/>
    <col min="2307" max="2307" width="12.85546875" customWidth="1"/>
    <col min="2308" max="2308" width="13.85546875" customWidth="1"/>
    <col min="2309" max="2309" width="10.7109375" customWidth="1"/>
    <col min="2310" max="2310" width="9.85546875" customWidth="1"/>
    <col min="2311" max="2311" width="14.7109375" customWidth="1"/>
    <col min="2312" max="2312" width="3" customWidth="1"/>
    <col min="2313" max="2313" width="2.7109375" customWidth="1"/>
    <col min="2561" max="2561" width="5" customWidth="1"/>
    <col min="2562" max="2562" width="17.28515625" customWidth="1"/>
    <col min="2563" max="2563" width="12.85546875" customWidth="1"/>
    <col min="2564" max="2564" width="13.85546875" customWidth="1"/>
    <col min="2565" max="2565" width="10.7109375" customWidth="1"/>
    <col min="2566" max="2566" width="9.85546875" customWidth="1"/>
    <col min="2567" max="2567" width="14.7109375" customWidth="1"/>
    <col min="2568" max="2568" width="3" customWidth="1"/>
    <col min="2569" max="2569" width="2.7109375" customWidth="1"/>
    <col min="2817" max="2817" width="5" customWidth="1"/>
    <col min="2818" max="2818" width="17.28515625" customWidth="1"/>
    <col min="2819" max="2819" width="12.85546875" customWidth="1"/>
    <col min="2820" max="2820" width="13.85546875" customWidth="1"/>
    <col min="2821" max="2821" width="10.7109375" customWidth="1"/>
    <col min="2822" max="2822" width="9.85546875" customWidth="1"/>
    <col min="2823" max="2823" width="14.7109375" customWidth="1"/>
    <col min="2824" max="2824" width="3" customWidth="1"/>
    <col min="2825" max="2825" width="2.7109375" customWidth="1"/>
    <col min="3073" max="3073" width="5" customWidth="1"/>
    <col min="3074" max="3074" width="17.28515625" customWidth="1"/>
    <col min="3075" max="3075" width="12.85546875" customWidth="1"/>
    <col min="3076" max="3076" width="13.85546875" customWidth="1"/>
    <col min="3077" max="3077" width="10.7109375" customWidth="1"/>
    <col min="3078" max="3078" width="9.85546875" customWidth="1"/>
    <col min="3079" max="3079" width="14.7109375" customWidth="1"/>
    <col min="3080" max="3080" width="3" customWidth="1"/>
    <col min="3081" max="3081" width="2.7109375" customWidth="1"/>
    <col min="3329" max="3329" width="5" customWidth="1"/>
    <col min="3330" max="3330" width="17.28515625" customWidth="1"/>
    <col min="3331" max="3331" width="12.85546875" customWidth="1"/>
    <col min="3332" max="3332" width="13.85546875" customWidth="1"/>
    <col min="3333" max="3333" width="10.7109375" customWidth="1"/>
    <col min="3334" max="3334" width="9.85546875" customWidth="1"/>
    <col min="3335" max="3335" width="14.7109375" customWidth="1"/>
    <col min="3336" max="3336" width="3" customWidth="1"/>
    <col min="3337" max="3337" width="2.7109375" customWidth="1"/>
    <col min="3585" max="3585" width="5" customWidth="1"/>
    <col min="3586" max="3586" width="17.28515625" customWidth="1"/>
    <col min="3587" max="3587" width="12.85546875" customWidth="1"/>
    <col min="3588" max="3588" width="13.85546875" customWidth="1"/>
    <col min="3589" max="3589" width="10.7109375" customWidth="1"/>
    <col min="3590" max="3590" width="9.85546875" customWidth="1"/>
    <col min="3591" max="3591" width="14.7109375" customWidth="1"/>
    <col min="3592" max="3592" width="3" customWidth="1"/>
    <col min="3593" max="3593" width="2.7109375" customWidth="1"/>
    <col min="3841" max="3841" width="5" customWidth="1"/>
    <col min="3842" max="3842" width="17.28515625" customWidth="1"/>
    <col min="3843" max="3843" width="12.85546875" customWidth="1"/>
    <col min="3844" max="3844" width="13.85546875" customWidth="1"/>
    <col min="3845" max="3845" width="10.7109375" customWidth="1"/>
    <col min="3846" max="3846" width="9.85546875" customWidth="1"/>
    <col min="3847" max="3847" width="14.7109375" customWidth="1"/>
    <col min="3848" max="3848" width="3" customWidth="1"/>
    <col min="3849" max="3849" width="2.7109375" customWidth="1"/>
    <col min="4097" max="4097" width="5" customWidth="1"/>
    <col min="4098" max="4098" width="17.28515625" customWidth="1"/>
    <col min="4099" max="4099" width="12.85546875" customWidth="1"/>
    <col min="4100" max="4100" width="13.85546875" customWidth="1"/>
    <col min="4101" max="4101" width="10.7109375" customWidth="1"/>
    <col min="4102" max="4102" width="9.85546875" customWidth="1"/>
    <col min="4103" max="4103" width="14.7109375" customWidth="1"/>
    <col min="4104" max="4104" width="3" customWidth="1"/>
    <col min="4105" max="4105" width="2.7109375" customWidth="1"/>
    <col min="4353" max="4353" width="5" customWidth="1"/>
    <col min="4354" max="4354" width="17.28515625" customWidth="1"/>
    <col min="4355" max="4355" width="12.85546875" customWidth="1"/>
    <col min="4356" max="4356" width="13.85546875" customWidth="1"/>
    <col min="4357" max="4357" width="10.7109375" customWidth="1"/>
    <col min="4358" max="4358" width="9.85546875" customWidth="1"/>
    <col min="4359" max="4359" width="14.7109375" customWidth="1"/>
    <col min="4360" max="4360" width="3" customWidth="1"/>
    <col min="4361" max="4361" width="2.7109375" customWidth="1"/>
    <col min="4609" max="4609" width="5" customWidth="1"/>
    <col min="4610" max="4610" width="17.28515625" customWidth="1"/>
    <col min="4611" max="4611" width="12.85546875" customWidth="1"/>
    <col min="4612" max="4612" width="13.85546875" customWidth="1"/>
    <col min="4613" max="4613" width="10.7109375" customWidth="1"/>
    <col min="4614" max="4614" width="9.85546875" customWidth="1"/>
    <col min="4615" max="4615" width="14.7109375" customWidth="1"/>
    <col min="4616" max="4616" width="3" customWidth="1"/>
    <col min="4617" max="4617" width="2.7109375" customWidth="1"/>
    <col min="4865" max="4865" width="5" customWidth="1"/>
    <col min="4866" max="4866" width="17.28515625" customWidth="1"/>
    <col min="4867" max="4867" width="12.85546875" customWidth="1"/>
    <col min="4868" max="4868" width="13.85546875" customWidth="1"/>
    <col min="4869" max="4869" width="10.7109375" customWidth="1"/>
    <col min="4870" max="4870" width="9.85546875" customWidth="1"/>
    <col min="4871" max="4871" width="14.7109375" customWidth="1"/>
    <col min="4872" max="4872" width="3" customWidth="1"/>
    <col min="4873" max="4873" width="2.7109375" customWidth="1"/>
    <col min="5121" max="5121" width="5" customWidth="1"/>
    <col min="5122" max="5122" width="17.28515625" customWidth="1"/>
    <col min="5123" max="5123" width="12.85546875" customWidth="1"/>
    <col min="5124" max="5124" width="13.85546875" customWidth="1"/>
    <col min="5125" max="5125" width="10.7109375" customWidth="1"/>
    <col min="5126" max="5126" width="9.85546875" customWidth="1"/>
    <col min="5127" max="5127" width="14.7109375" customWidth="1"/>
    <col min="5128" max="5128" width="3" customWidth="1"/>
    <col min="5129" max="5129" width="2.7109375" customWidth="1"/>
    <col min="5377" max="5377" width="5" customWidth="1"/>
    <col min="5378" max="5378" width="17.28515625" customWidth="1"/>
    <col min="5379" max="5379" width="12.85546875" customWidth="1"/>
    <col min="5380" max="5380" width="13.85546875" customWidth="1"/>
    <col min="5381" max="5381" width="10.7109375" customWidth="1"/>
    <col min="5382" max="5382" width="9.85546875" customWidth="1"/>
    <col min="5383" max="5383" width="14.7109375" customWidth="1"/>
    <col min="5384" max="5384" width="3" customWidth="1"/>
    <col min="5385" max="5385" width="2.7109375" customWidth="1"/>
    <col min="5633" max="5633" width="5" customWidth="1"/>
    <col min="5634" max="5634" width="17.28515625" customWidth="1"/>
    <col min="5635" max="5635" width="12.85546875" customWidth="1"/>
    <col min="5636" max="5636" width="13.85546875" customWidth="1"/>
    <col min="5637" max="5637" width="10.7109375" customWidth="1"/>
    <col min="5638" max="5638" width="9.85546875" customWidth="1"/>
    <col min="5639" max="5639" width="14.7109375" customWidth="1"/>
    <col min="5640" max="5640" width="3" customWidth="1"/>
    <col min="5641" max="5641" width="2.7109375" customWidth="1"/>
    <col min="5889" max="5889" width="5" customWidth="1"/>
    <col min="5890" max="5890" width="17.28515625" customWidth="1"/>
    <col min="5891" max="5891" width="12.85546875" customWidth="1"/>
    <col min="5892" max="5892" width="13.85546875" customWidth="1"/>
    <col min="5893" max="5893" width="10.7109375" customWidth="1"/>
    <col min="5894" max="5894" width="9.85546875" customWidth="1"/>
    <col min="5895" max="5895" width="14.7109375" customWidth="1"/>
    <col min="5896" max="5896" width="3" customWidth="1"/>
    <col min="5897" max="5897" width="2.7109375" customWidth="1"/>
    <col min="6145" max="6145" width="5" customWidth="1"/>
    <col min="6146" max="6146" width="17.28515625" customWidth="1"/>
    <col min="6147" max="6147" width="12.85546875" customWidth="1"/>
    <col min="6148" max="6148" width="13.85546875" customWidth="1"/>
    <col min="6149" max="6149" width="10.7109375" customWidth="1"/>
    <col min="6150" max="6150" width="9.85546875" customWidth="1"/>
    <col min="6151" max="6151" width="14.7109375" customWidth="1"/>
    <col min="6152" max="6152" width="3" customWidth="1"/>
    <col min="6153" max="6153" width="2.7109375" customWidth="1"/>
    <col min="6401" max="6401" width="5" customWidth="1"/>
    <col min="6402" max="6402" width="17.28515625" customWidth="1"/>
    <col min="6403" max="6403" width="12.85546875" customWidth="1"/>
    <col min="6404" max="6404" width="13.85546875" customWidth="1"/>
    <col min="6405" max="6405" width="10.7109375" customWidth="1"/>
    <col min="6406" max="6406" width="9.85546875" customWidth="1"/>
    <col min="6407" max="6407" width="14.7109375" customWidth="1"/>
    <col min="6408" max="6408" width="3" customWidth="1"/>
    <col min="6409" max="6409" width="2.7109375" customWidth="1"/>
    <col min="6657" max="6657" width="5" customWidth="1"/>
    <col min="6658" max="6658" width="17.28515625" customWidth="1"/>
    <col min="6659" max="6659" width="12.85546875" customWidth="1"/>
    <col min="6660" max="6660" width="13.85546875" customWidth="1"/>
    <col min="6661" max="6661" width="10.7109375" customWidth="1"/>
    <col min="6662" max="6662" width="9.85546875" customWidth="1"/>
    <col min="6663" max="6663" width="14.7109375" customWidth="1"/>
    <col min="6664" max="6664" width="3" customWidth="1"/>
    <col min="6665" max="6665" width="2.7109375" customWidth="1"/>
    <col min="6913" max="6913" width="5" customWidth="1"/>
    <col min="6914" max="6914" width="17.28515625" customWidth="1"/>
    <col min="6915" max="6915" width="12.85546875" customWidth="1"/>
    <col min="6916" max="6916" width="13.85546875" customWidth="1"/>
    <col min="6917" max="6917" width="10.7109375" customWidth="1"/>
    <col min="6918" max="6918" width="9.85546875" customWidth="1"/>
    <col min="6919" max="6919" width="14.7109375" customWidth="1"/>
    <col min="6920" max="6920" width="3" customWidth="1"/>
    <col min="6921" max="6921" width="2.7109375" customWidth="1"/>
    <col min="7169" max="7169" width="5" customWidth="1"/>
    <col min="7170" max="7170" width="17.28515625" customWidth="1"/>
    <col min="7171" max="7171" width="12.85546875" customWidth="1"/>
    <col min="7172" max="7172" width="13.85546875" customWidth="1"/>
    <col min="7173" max="7173" width="10.7109375" customWidth="1"/>
    <col min="7174" max="7174" width="9.85546875" customWidth="1"/>
    <col min="7175" max="7175" width="14.7109375" customWidth="1"/>
    <col min="7176" max="7176" width="3" customWidth="1"/>
    <col min="7177" max="7177" width="2.7109375" customWidth="1"/>
    <col min="7425" max="7425" width="5" customWidth="1"/>
    <col min="7426" max="7426" width="17.28515625" customWidth="1"/>
    <col min="7427" max="7427" width="12.85546875" customWidth="1"/>
    <col min="7428" max="7428" width="13.85546875" customWidth="1"/>
    <col min="7429" max="7429" width="10.7109375" customWidth="1"/>
    <col min="7430" max="7430" width="9.85546875" customWidth="1"/>
    <col min="7431" max="7431" width="14.7109375" customWidth="1"/>
    <col min="7432" max="7432" width="3" customWidth="1"/>
    <col min="7433" max="7433" width="2.7109375" customWidth="1"/>
    <col min="7681" max="7681" width="5" customWidth="1"/>
    <col min="7682" max="7682" width="17.28515625" customWidth="1"/>
    <col min="7683" max="7683" width="12.85546875" customWidth="1"/>
    <col min="7684" max="7684" width="13.85546875" customWidth="1"/>
    <col min="7685" max="7685" width="10.7109375" customWidth="1"/>
    <col min="7686" max="7686" width="9.85546875" customWidth="1"/>
    <col min="7687" max="7687" width="14.7109375" customWidth="1"/>
    <col min="7688" max="7688" width="3" customWidth="1"/>
    <col min="7689" max="7689" width="2.7109375" customWidth="1"/>
    <col min="7937" max="7937" width="5" customWidth="1"/>
    <col min="7938" max="7938" width="17.28515625" customWidth="1"/>
    <col min="7939" max="7939" width="12.85546875" customWidth="1"/>
    <col min="7940" max="7940" width="13.85546875" customWidth="1"/>
    <col min="7941" max="7941" width="10.7109375" customWidth="1"/>
    <col min="7942" max="7942" width="9.85546875" customWidth="1"/>
    <col min="7943" max="7943" width="14.7109375" customWidth="1"/>
    <col min="7944" max="7944" width="3" customWidth="1"/>
    <col min="7945" max="7945" width="2.7109375" customWidth="1"/>
    <col min="8193" max="8193" width="5" customWidth="1"/>
    <col min="8194" max="8194" width="17.28515625" customWidth="1"/>
    <col min="8195" max="8195" width="12.85546875" customWidth="1"/>
    <col min="8196" max="8196" width="13.85546875" customWidth="1"/>
    <col min="8197" max="8197" width="10.7109375" customWidth="1"/>
    <col min="8198" max="8198" width="9.85546875" customWidth="1"/>
    <col min="8199" max="8199" width="14.7109375" customWidth="1"/>
    <col min="8200" max="8200" width="3" customWidth="1"/>
    <col min="8201" max="8201" width="2.7109375" customWidth="1"/>
    <col min="8449" max="8449" width="5" customWidth="1"/>
    <col min="8450" max="8450" width="17.28515625" customWidth="1"/>
    <col min="8451" max="8451" width="12.85546875" customWidth="1"/>
    <col min="8452" max="8452" width="13.85546875" customWidth="1"/>
    <col min="8453" max="8453" width="10.7109375" customWidth="1"/>
    <col min="8454" max="8454" width="9.85546875" customWidth="1"/>
    <col min="8455" max="8455" width="14.7109375" customWidth="1"/>
    <col min="8456" max="8456" width="3" customWidth="1"/>
    <col min="8457" max="8457" width="2.7109375" customWidth="1"/>
    <col min="8705" max="8705" width="5" customWidth="1"/>
    <col min="8706" max="8706" width="17.28515625" customWidth="1"/>
    <col min="8707" max="8707" width="12.85546875" customWidth="1"/>
    <col min="8708" max="8708" width="13.85546875" customWidth="1"/>
    <col min="8709" max="8709" width="10.7109375" customWidth="1"/>
    <col min="8710" max="8710" width="9.85546875" customWidth="1"/>
    <col min="8711" max="8711" width="14.7109375" customWidth="1"/>
    <col min="8712" max="8712" width="3" customWidth="1"/>
    <col min="8713" max="8713" width="2.7109375" customWidth="1"/>
    <col min="8961" max="8961" width="5" customWidth="1"/>
    <col min="8962" max="8962" width="17.28515625" customWidth="1"/>
    <col min="8963" max="8963" width="12.85546875" customWidth="1"/>
    <col min="8964" max="8964" width="13.85546875" customWidth="1"/>
    <col min="8965" max="8965" width="10.7109375" customWidth="1"/>
    <col min="8966" max="8966" width="9.85546875" customWidth="1"/>
    <col min="8967" max="8967" width="14.7109375" customWidth="1"/>
    <col min="8968" max="8968" width="3" customWidth="1"/>
    <col min="8969" max="8969" width="2.7109375" customWidth="1"/>
    <col min="9217" max="9217" width="5" customWidth="1"/>
    <col min="9218" max="9218" width="17.28515625" customWidth="1"/>
    <col min="9219" max="9219" width="12.85546875" customWidth="1"/>
    <col min="9220" max="9220" width="13.85546875" customWidth="1"/>
    <col min="9221" max="9221" width="10.7109375" customWidth="1"/>
    <col min="9222" max="9222" width="9.85546875" customWidth="1"/>
    <col min="9223" max="9223" width="14.7109375" customWidth="1"/>
    <col min="9224" max="9224" width="3" customWidth="1"/>
    <col min="9225" max="9225" width="2.7109375" customWidth="1"/>
    <col min="9473" max="9473" width="5" customWidth="1"/>
    <col min="9474" max="9474" width="17.28515625" customWidth="1"/>
    <col min="9475" max="9475" width="12.85546875" customWidth="1"/>
    <col min="9476" max="9476" width="13.85546875" customWidth="1"/>
    <col min="9477" max="9477" width="10.7109375" customWidth="1"/>
    <col min="9478" max="9478" width="9.85546875" customWidth="1"/>
    <col min="9479" max="9479" width="14.7109375" customWidth="1"/>
    <col min="9480" max="9480" width="3" customWidth="1"/>
    <col min="9481" max="9481" width="2.7109375" customWidth="1"/>
    <col min="9729" max="9729" width="5" customWidth="1"/>
    <col min="9730" max="9730" width="17.28515625" customWidth="1"/>
    <col min="9731" max="9731" width="12.85546875" customWidth="1"/>
    <col min="9732" max="9732" width="13.85546875" customWidth="1"/>
    <col min="9733" max="9733" width="10.7109375" customWidth="1"/>
    <col min="9734" max="9734" width="9.85546875" customWidth="1"/>
    <col min="9735" max="9735" width="14.7109375" customWidth="1"/>
    <col min="9736" max="9736" width="3" customWidth="1"/>
    <col min="9737" max="9737" width="2.7109375" customWidth="1"/>
    <col min="9985" max="9985" width="5" customWidth="1"/>
    <col min="9986" max="9986" width="17.28515625" customWidth="1"/>
    <col min="9987" max="9987" width="12.85546875" customWidth="1"/>
    <col min="9988" max="9988" width="13.85546875" customWidth="1"/>
    <col min="9989" max="9989" width="10.7109375" customWidth="1"/>
    <col min="9990" max="9990" width="9.85546875" customWidth="1"/>
    <col min="9991" max="9991" width="14.7109375" customWidth="1"/>
    <col min="9992" max="9992" width="3" customWidth="1"/>
    <col min="9993" max="9993" width="2.7109375" customWidth="1"/>
    <col min="10241" max="10241" width="5" customWidth="1"/>
    <col min="10242" max="10242" width="17.28515625" customWidth="1"/>
    <col min="10243" max="10243" width="12.85546875" customWidth="1"/>
    <col min="10244" max="10244" width="13.85546875" customWidth="1"/>
    <col min="10245" max="10245" width="10.7109375" customWidth="1"/>
    <col min="10246" max="10246" width="9.85546875" customWidth="1"/>
    <col min="10247" max="10247" width="14.7109375" customWidth="1"/>
    <col min="10248" max="10248" width="3" customWidth="1"/>
    <col min="10249" max="10249" width="2.7109375" customWidth="1"/>
    <col min="10497" max="10497" width="5" customWidth="1"/>
    <col min="10498" max="10498" width="17.28515625" customWidth="1"/>
    <col min="10499" max="10499" width="12.85546875" customWidth="1"/>
    <col min="10500" max="10500" width="13.85546875" customWidth="1"/>
    <col min="10501" max="10501" width="10.7109375" customWidth="1"/>
    <col min="10502" max="10502" width="9.85546875" customWidth="1"/>
    <col min="10503" max="10503" width="14.7109375" customWidth="1"/>
    <col min="10504" max="10504" width="3" customWidth="1"/>
    <col min="10505" max="10505" width="2.7109375" customWidth="1"/>
    <col min="10753" max="10753" width="5" customWidth="1"/>
    <col min="10754" max="10754" width="17.28515625" customWidth="1"/>
    <col min="10755" max="10755" width="12.85546875" customWidth="1"/>
    <col min="10756" max="10756" width="13.85546875" customWidth="1"/>
    <col min="10757" max="10757" width="10.7109375" customWidth="1"/>
    <col min="10758" max="10758" width="9.85546875" customWidth="1"/>
    <col min="10759" max="10759" width="14.7109375" customWidth="1"/>
    <col min="10760" max="10760" width="3" customWidth="1"/>
    <col min="10761" max="10761" width="2.7109375" customWidth="1"/>
    <col min="11009" max="11009" width="5" customWidth="1"/>
    <col min="11010" max="11010" width="17.28515625" customWidth="1"/>
    <col min="11011" max="11011" width="12.85546875" customWidth="1"/>
    <col min="11012" max="11012" width="13.85546875" customWidth="1"/>
    <col min="11013" max="11013" width="10.7109375" customWidth="1"/>
    <col min="11014" max="11014" width="9.85546875" customWidth="1"/>
    <col min="11015" max="11015" width="14.7109375" customWidth="1"/>
    <col min="11016" max="11016" width="3" customWidth="1"/>
    <col min="11017" max="11017" width="2.7109375" customWidth="1"/>
    <col min="11265" max="11265" width="5" customWidth="1"/>
    <col min="11266" max="11266" width="17.28515625" customWidth="1"/>
    <col min="11267" max="11267" width="12.85546875" customWidth="1"/>
    <col min="11268" max="11268" width="13.85546875" customWidth="1"/>
    <col min="11269" max="11269" width="10.7109375" customWidth="1"/>
    <col min="11270" max="11270" width="9.85546875" customWidth="1"/>
    <col min="11271" max="11271" width="14.7109375" customWidth="1"/>
    <col min="11272" max="11272" width="3" customWidth="1"/>
    <col min="11273" max="11273" width="2.7109375" customWidth="1"/>
    <col min="11521" max="11521" width="5" customWidth="1"/>
    <col min="11522" max="11522" width="17.28515625" customWidth="1"/>
    <col min="11523" max="11523" width="12.85546875" customWidth="1"/>
    <col min="11524" max="11524" width="13.85546875" customWidth="1"/>
    <col min="11525" max="11525" width="10.7109375" customWidth="1"/>
    <col min="11526" max="11526" width="9.85546875" customWidth="1"/>
    <col min="11527" max="11527" width="14.7109375" customWidth="1"/>
    <col min="11528" max="11528" width="3" customWidth="1"/>
    <col min="11529" max="11529" width="2.7109375" customWidth="1"/>
    <col min="11777" max="11777" width="5" customWidth="1"/>
    <col min="11778" max="11778" width="17.28515625" customWidth="1"/>
    <col min="11779" max="11779" width="12.85546875" customWidth="1"/>
    <col min="11780" max="11780" width="13.85546875" customWidth="1"/>
    <col min="11781" max="11781" width="10.7109375" customWidth="1"/>
    <col min="11782" max="11782" width="9.85546875" customWidth="1"/>
    <col min="11783" max="11783" width="14.7109375" customWidth="1"/>
    <col min="11784" max="11784" width="3" customWidth="1"/>
    <col min="11785" max="11785" width="2.7109375" customWidth="1"/>
    <col min="12033" max="12033" width="5" customWidth="1"/>
    <col min="12034" max="12034" width="17.28515625" customWidth="1"/>
    <col min="12035" max="12035" width="12.85546875" customWidth="1"/>
    <col min="12036" max="12036" width="13.85546875" customWidth="1"/>
    <col min="12037" max="12037" width="10.7109375" customWidth="1"/>
    <col min="12038" max="12038" width="9.85546875" customWidth="1"/>
    <col min="12039" max="12039" width="14.7109375" customWidth="1"/>
    <col min="12040" max="12040" width="3" customWidth="1"/>
    <col min="12041" max="12041" width="2.7109375" customWidth="1"/>
    <col min="12289" max="12289" width="5" customWidth="1"/>
    <col min="12290" max="12290" width="17.28515625" customWidth="1"/>
    <col min="12291" max="12291" width="12.85546875" customWidth="1"/>
    <col min="12292" max="12292" width="13.85546875" customWidth="1"/>
    <col min="12293" max="12293" width="10.7109375" customWidth="1"/>
    <col min="12294" max="12294" width="9.85546875" customWidth="1"/>
    <col min="12295" max="12295" width="14.7109375" customWidth="1"/>
    <col min="12296" max="12296" width="3" customWidth="1"/>
    <col min="12297" max="12297" width="2.7109375" customWidth="1"/>
    <col min="12545" max="12545" width="5" customWidth="1"/>
    <col min="12546" max="12546" width="17.28515625" customWidth="1"/>
    <col min="12547" max="12547" width="12.85546875" customWidth="1"/>
    <col min="12548" max="12548" width="13.85546875" customWidth="1"/>
    <col min="12549" max="12549" width="10.7109375" customWidth="1"/>
    <col min="12550" max="12550" width="9.85546875" customWidth="1"/>
    <col min="12551" max="12551" width="14.7109375" customWidth="1"/>
    <col min="12552" max="12552" width="3" customWidth="1"/>
    <col min="12553" max="12553" width="2.7109375" customWidth="1"/>
    <col min="12801" max="12801" width="5" customWidth="1"/>
    <col min="12802" max="12802" width="17.28515625" customWidth="1"/>
    <col min="12803" max="12803" width="12.85546875" customWidth="1"/>
    <col min="12804" max="12804" width="13.85546875" customWidth="1"/>
    <col min="12805" max="12805" width="10.7109375" customWidth="1"/>
    <col min="12806" max="12806" width="9.85546875" customWidth="1"/>
    <col min="12807" max="12807" width="14.7109375" customWidth="1"/>
    <col min="12808" max="12808" width="3" customWidth="1"/>
    <col min="12809" max="12809" width="2.7109375" customWidth="1"/>
    <col min="13057" max="13057" width="5" customWidth="1"/>
    <col min="13058" max="13058" width="17.28515625" customWidth="1"/>
    <col min="13059" max="13059" width="12.85546875" customWidth="1"/>
    <col min="13060" max="13060" width="13.85546875" customWidth="1"/>
    <col min="13061" max="13061" width="10.7109375" customWidth="1"/>
    <col min="13062" max="13062" width="9.85546875" customWidth="1"/>
    <col min="13063" max="13063" width="14.7109375" customWidth="1"/>
    <col min="13064" max="13064" width="3" customWidth="1"/>
    <col min="13065" max="13065" width="2.7109375" customWidth="1"/>
    <col min="13313" max="13313" width="5" customWidth="1"/>
    <col min="13314" max="13314" width="17.28515625" customWidth="1"/>
    <col min="13315" max="13315" width="12.85546875" customWidth="1"/>
    <col min="13316" max="13316" width="13.85546875" customWidth="1"/>
    <col min="13317" max="13317" width="10.7109375" customWidth="1"/>
    <col min="13318" max="13318" width="9.85546875" customWidth="1"/>
    <col min="13319" max="13319" width="14.7109375" customWidth="1"/>
    <col min="13320" max="13320" width="3" customWidth="1"/>
    <col min="13321" max="13321" width="2.7109375" customWidth="1"/>
    <col min="13569" max="13569" width="5" customWidth="1"/>
    <col min="13570" max="13570" width="17.28515625" customWidth="1"/>
    <col min="13571" max="13571" width="12.85546875" customWidth="1"/>
    <col min="13572" max="13572" width="13.85546875" customWidth="1"/>
    <col min="13573" max="13573" width="10.7109375" customWidth="1"/>
    <col min="13574" max="13574" width="9.85546875" customWidth="1"/>
    <col min="13575" max="13575" width="14.7109375" customWidth="1"/>
    <col min="13576" max="13576" width="3" customWidth="1"/>
    <col min="13577" max="13577" width="2.7109375" customWidth="1"/>
    <col min="13825" max="13825" width="5" customWidth="1"/>
    <col min="13826" max="13826" width="17.28515625" customWidth="1"/>
    <col min="13827" max="13827" width="12.85546875" customWidth="1"/>
    <col min="13828" max="13828" width="13.85546875" customWidth="1"/>
    <col min="13829" max="13829" width="10.7109375" customWidth="1"/>
    <col min="13830" max="13830" width="9.85546875" customWidth="1"/>
    <col min="13831" max="13831" width="14.7109375" customWidth="1"/>
    <col min="13832" max="13832" width="3" customWidth="1"/>
    <col min="13833" max="13833" width="2.7109375" customWidth="1"/>
    <col min="14081" max="14081" width="5" customWidth="1"/>
    <col min="14082" max="14082" width="17.28515625" customWidth="1"/>
    <col min="14083" max="14083" width="12.85546875" customWidth="1"/>
    <col min="14084" max="14084" width="13.85546875" customWidth="1"/>
    <col min="14085" max="14085" width="10.7109375" customWidth="1"/>
    <col min="14086" max="14086" width="9.85546875" customWidth="1"/>
    <col min="14087" max="14087" width="14.7109375" customWidth="1"/>
    <col min="14088" max="14088" width="3" customWidth="1"/>
    <col min="14089" max="14089" width="2.7109375" customWidth="1"/>
    <col min="14337" max="14337" width="5" customWidth="1"/>
    <col min="14338" max="14338" width="17.28515625" customWidth="1"/>
    <col min="14339" max="14339" width="12.85546875" customWidth="1"/>
    <col min="14340" max="14340" width="13.85546875" customWidth="1"/>
    <col min="14341" max="14341" width="10.7109375" customWidth="1"/>
    <col min="14342" max="14342" width="9.85546875" customWidth="1"/>
    <col min="14343" max="14343" width="14.7109375" customWidth="1"/>
    <col min="14344" max="14344" width="3" customWidth="1"/>
    <col min="14345" max="14345" width="2.7109375" customWidth="1"/>
    <col min="14593" max="14593" width="5" customWidth="1"/>
    <col min="14594" max="14594" width="17.28515625" customWidth="1"/>
    <col min="14595" max="14595" width="12.85546875" customWidth="1"/>
    <col min="14596" max="14596" width="13.85546875" customWidth="1"/>
    <col min="14597" max="14597" width="10.7109375" customWidth="1"/>
    <col min="14598" max="14598" width="9.85546875" customWidth="1"/>
    <col min="14599" max="14599" width="14.7109375" customWidth="1"/>
    <col min="14600" max="14600" width="3" customWidth="1"/>
    <col min="14601" max="14601" width="2.7109375" customWidth="1"/>
    <col min="14849" max="14849" width="5" customWidth="1"/>
    <col min="14850" max="14850" width="17.28515625" customWidth="1"/>
    <col min="14851" max="14851" width="12.85546875" customWidth="1"/>
    <col min="14852" max="14852" width="13.85546875" customWidth="1"/>
    <col min="14853" max="14853" width="10.7109375" customWidth="1"/>
    <col min="14854" max="14854" width="9.85546875" customWidth="1"/>
    <col min="14855" max="14855" width="14.7109375" customWidth="1"/>
    <col min="14856" max="14856" width="3" customWidth="1"/>
    <col min="14857" max="14857" width="2.7109375" customWidth="1"/>
    <col min="15105" max="15105" width="5" customWidth="1"/>
    <col min="15106" max="15106" width="17.28515625" customWidth="1"/>
    <col min="15107" max="15107" width="12.85546875" customWidth="1"/>
    <col min="15108" max="15108" width="13.85546875" customWidth="1"/>
    <col min="15109" max="15109" width="10.7109375" customWidth="1"/>
    <col min="15110" max="15110" width="9.85546875" customWidth="1"/>
    <col min="15111" max="15111" width="14.7109375" customWidth="1"/>
    <col min="15112" max="15112" width="3" customWidth="1"/>
    <col min="15113" max="15113" width="2.7109375" customWidth="1"/>
    <col min="15361" max="15361" width="5" customWidth="1"/>
    <col min="15362" max="15362" width="17.28515625" customWidth="1"/>
    <col min="15363" max="15363" width="12.85546875" customWidth="1"/>
    <col min="15364" max="15364" width="13.85546875" customWidth="1"/>
    <col min="15365" max="15365" width="10.7109375" customWidth="1"/>
    <col min="15366" max="15366" width="9.85546875" customWidth="1"/>
    <col min="15367" max="15367" width="14.7109375" customWidth="1"/>
    <col min="15368" max="15368" width="3" customWidth="1"/>
    <col min="15369" max="15369" width="2.7109375" customWidth="1"/>
    <col min="15617" max="15617" width="5" customWidth="1"/>
    <col min="15618" max="15618" width="17.28515625" customWidth="1"/>
    <col min="15619" max="15619" width="12.85546875" customWidth="1"/>
    <col min="15620" max="15620" width="13.85546875" customWidth="1"/>
    <col min="15621" max="15621" width="10.7109375" customWidth="1"/>
    <col min="15622" max="15622" width="9.85546875" customWidth="1"/>
    <col min="15623" max="15623" width="14.7109375" customWidth="1"/>
    <col min="15624" max="15624" width="3" customWidth="1"/>
    <col min="15625" max="15625" width="2.7109375" customWidth="1"/>
    <col min="15873" max="15873" width="5" customWidth="1"/>
    <col min="15874" max="15874" width="17.28515625" customWidth="1"/>
    <col min="15875" max="15875" width="12.85546875" customWidth="1"/>
    <col min="15876" max="15876" width="13.85546875" customWidth="1"/>
    <col min="15877" max="15877" width="10.7109375" customWidth="1"/>
    <col min="15878" max="15878" width="9.85546875" customWidth="1"/>
    <col min="15879" max="15879" width="14.7109375" customWidth="1"/>
    <col min="15880" max="15880" width="3" customWidth="1"/>
    <col min="15881" max="15881" width="2.7109375" customWidth="1"/>
    <col min="16129" max="16129" width="5" customWidth="1"/>
    <col min="16130" max="16130" width="17.28515625" customWidth="1"/>
    <col min="16131" max="16131" width="12.85546875" customWidth="1"/>
    <col min="16132" max="16132" width="13.85546875" customWidth="1"/>
    <col min="16133" max="16133" width="10.7109375" customWidth="1"/>
    <col min="16134" max="16134" width="9.85546875" customWidth="1"/>
    <col min="16135" max="16135" width="14.7109375" customWidth="1"/>
    <col min="16136" max="16136" width="3" customWidth="1"/>
    <col min="16137" max="16137" width="2.7109375" customWidth="1"/>
  </cols>
  <sheetData>
    <row r="1" spans="2:9">
      <c r="B1" s="4" t="s">
        <v>7</v>
      </c>
      <c r="C1" s="5"/>
      <c r="D1" s="5"/>
      <c r="E1" s="5"/>
      <c r="F1" s="73" t="s">
        <v>85</v>
      </c>
      <c r="G1" s="5"/>
      <c r="H1" s="6"/>
    </row>
    <row r="2" spans="2:9" ht="3.75" customHeight="1">
      <c r="G2" s="7"/>
      <c r="H2" s="6"/>
    </row>
    <row r="3" spans="2:9">
      <c r="B3" t="s">
        <v>8</v>
      </c>
      <c r="E3" s="194">
        <v>480000</v>
      </c>
      <c r="F3" s="194"/>
      <c r="G3" s="7"/>
      <c r="H3" s="6"/>
      <c r="I3" s="8"/>
    </row>
    <row r="4" spans="2:9">
      <c r="B4" t="s">
        <v>9</v>
      </c>
      <c r="E4" s="194">
        <v>29000</v>
      </c>
      <c r="F4" s="194"/>
      <c r="G4" s="7"/>
      <c r="H4" s="6"/>
    </row>
    <row r="5" spans="2:9">
      <c r="B5" t="s">
        <v>10</v>
      </c>
      <c r="E5" s="194">
        <v>25300</v>
      </c>
      <c r="F5" s="194"/>
      <c r="G5" s="7"/>
      <c r="H5" s="6"/>
    </row>
    <row r="6" spans="2:9">
      <c r="B6" t="s">
        <v>11</v>
      </c>
      <c r="E6" s="194">
        <v>15000</v>
      </c>
      <c r="F6" s="194"/>
      <c r="G6" s="7"/>
      <c r="H6" s="6"/>
    </row>
    <row r="7" spans="2:9">
      <c r="B7" t="s">
        <v>12</v>
      </c>
      <c r="E7" s="194">
        <v>49000</v>
      </c>
      <c r="F7" s="194"/>
      <c r="G7" s="7"/>
      <c r="H7" s="6"/>
    </row>
    <row r="8" spans="2:9">
      <c r="B8" t="s">
        <v>13</v>
      </c>
      <c r="E8" s="194">
        <v>13000</v>
      </c>
      <c r="F8" s="194"/>
      <c r="G8" s="7"/>
      <c r="H8" s="6"/>
    </row>
    <row r="9" spans="2:9">
      <c r="B9" t="s">
        <v>14</v>
      </c>
      <c r="E9" s="194">
        <v>2000</v>
      </c>
      <c r="F9" s="194"/>
      <c r="G9" s="7"/>
      <c r="H9" s="6"/>
    </row>
    <row r="10" spans="2:9">
      <c r="B10" t="s">
        <v>15</v>
      </c>
      <c r="E10" s="194">
        <v>1000</v>
      </c>
      <c r="F10" s="194"/>
      <c r="G10" s="7"/>
      <c r="H10" s="6"/>
    </row>
    <row r="11" spans="2:9">
      <c r="B11" t="s">
        <v>16</v>
      </c>
      <c r="E11" s="194">
        <v>10000</v>
      </c>
      <c r="F11" s="194"/>
      <c r="G11" s="7"/>
      <c r="H11" s="6"/>
    </row>
    <row r="12" spans="2:9" ht="4.5" customHeight="1">
      <c r="G12" s="7"/>
      <c r="H12" s="6"/>
    </row>
    <row r="13" spans="2:9">
      <c r="B13" t="s">
        <v>17</v>
      </c>
      <c r="E13" s="194"/>
      <c r="F13" s="194"/>
      <c r="H13" s="6"/>
    </row>
    <row r="14" spans="2:9" ht="4.5" customHeight="1">
      <c r="E14" s="9"/>
      <c r="F14" s="9"/>
      <c r="H14" s="6"/>
    </row>
    <row r="15" spans="2:9">
      <c r="C15" t="s">
        <v>18</v>
      </c>
      <c r="G15" s="7">
        <f>SUM(E3:F13)</f>
        <v>624300</v>
      </c>
      <c r="H15" s="6"/>
    </row>
    <row r="16" spans="2:9" ht="4.5" customHeight="1"/>
    <row r="17" spans="2:14" ht="12.75" customHeight="1">
      <c r="B17" s="192" t="s">
        <v>19</v>
      </c>
      <c r="C17" s="192"/>
      <c r="D17" s="192"/>
      <c r="E17" s="192"/>
      <c r="G17" s="10"/>
    </row>
    <row r="18" spans="2:14" ht="12.75" customHeight="1">
      <c r="B18" s="11" t="s">
        <v>20</v>
      </c>
      <c r="C18" s="11"/>
      <c r="D18" s="11"/>
      <c r="E18" s="11"/>
      <c r="G18" s="12"/>
    </row>
    <row r="19" spans="2:14" ht="7.5" customHeight="1"/>
    <row r="20" spans="2:14" ht="12.75" customHeight="1">
      <c r="D20" s="13" t="s">
        <v>21</v>
      </c>
      <c r="E20" s="14"/>
      <c r="G20" s="7">
        <f>G15+G17</f>
        <v>624300</v>
      </c>
    </row>
    <row r="21" spans="2:14" ht="20.100000000000001" customHeight="1">
      <c r="F21" s="15"/>
      <c r="G21" s="16"/>
    </row>
    <row r="22" spans="2:14" ht="12.75" customHeight="1">
      <c r="B22" s="4" t="s">
        <v>22</v>
      </c>
      <c r="C22" s="5"/>
      <c r="D22" s="5"/>
      <c r="E22" s="5"/>
      <c r="F22" s="5"/>
      <c r="G22" s="5"/>
    </row>
    <row r="23" spans="2:14" ht="12.75" customHeight="1">
      <c r="F23" s="15"/>
      <c r="G23" s="16"/>
    </row>
    <row r="24" spans="2:14" ht="29.25" customHeight="1">
      <c r="B24" s="17" t="s">
        <v>23</v>
      </c>
      <c r="C24" s="17" t="s">
        <v>24</v>
      </c>
      <c r="D24" s="17" t="s">
        <v>25</v>
      </c>
      <c r="E24" s="17" t="s">
        <v>26</v>
      </c>
      <c r="F24" s="17" t="s">
        <v>27</v>
      </c>
      <c r="G24" s="18" t="s">
        <v>28</v>
      </c>
      <c r="J24" t="s">
        <v>59</v>
      </c>
    </row>
    <row r="25" spans="2:14" ht="3" customHeight="1">
      <c r="B25" s="19"/>
      <c r="C25" s="19"/>
      <c r="D25" s="19"/>
      <c r="E25" s="19"/>
      <c r="F25" s="19"/>
      <c r="G25" s="19"/>
    </row>
    <row r="26" spans="2:14" ht="3" customHeight="1"/>
    <row r="27" spans="2:14" ht="12.75" customHeight="1">
      <c r="B27" t="s">
        <v>77</v>
      </c>
      <c r="C27" s="20">
        <v>12</v>
      </c>
      <c r="D27" s="21">
        <v>7500</v>
      </c>
      <c r="E27" s="22">
        <v>0.5</v>
      </c>
      <c r="F27" s="23">
        <f>D27/$D$35*E27</f>
        <v>0.96899224806201545</v>
      </c>
      <c r="G27" s="24">
        <f t="shared" ref="G27" si="0">C27*F27</f>
        <v>11.627906976744185</v>
      </c>
      <c r="J27" s="1">
        <v>144.88</v>
      </c>
    </row>
    <row r="28" spans="2:14">
      <c r="B28" s="70" t="s">
        <v>78</v>
      </c>
      <c r="C28" s="178">
        <v>12</v>
      </c>
      <c r="D28" s="179">
        <v>4000</v>
      </c>
      <c r="E28" s="193" t="s">
        <v>29</v>
      </c>
      <c r="F28" s="180">
        <f t="shared" ref="F28:F33" si="1">D28/$D$35</f>
        <v>1.0335917312661498</v>
      </c>
      <c r="G28" s="181">
        <f t="shared" ref="G28:G33" si="2">C28*F28</f>
        <v>12.403100775193797</v>
      </c>
      <c r="J28" s="1">
        <v>79.83</v>
      </c>
      <c r="N28" s="203"/>
    </row>
    <row r="29" spans="2:14" ht="12.75" customHeight="1">
      <c r="B29" t="s">
        <v>79</v>
      </c>
      <c r="C29" s="20">
        <v>12</v>
      </c>
      <c r="D29" s="72">
        <v>3500</v>
      </c>
      <c r="E29" s="193"/>
      <c r="F29" s="23">
        <f t="shared" si="1"/>
        <v>0.90439276485788112</v>
      </c>
      <c r="G29" s="24">
        <f t="shared" si="2"/>
        <v>10.852713178294573</v>
      </c>
      <c r="J29" s="1">
        <v>70.86</v>
      </c>
    </row>
    <row r="30" spans="2:14" ht="12.75" customHeight="1">
      <c r="B30" t="s">
        <v>80</v>
      </c>
      <c r="C30" s="20">
        <v>12</v>
      </c>
      <c r="D30" s="72">
        <v>3460</v>
      </c>
      <c r="E30" s="193"/>
      <c r="F30" s="23">
        <f t="shared" si="1"/>
        <v>0.89405684754521964</v>
      </c>
      <c r="G30" s="24">
        <f t="shared" si="2"/>
        <v>10.728682170542635</v>
      </c>
      <c r="J30" s="1">
        <v>70.06</v>
      </c>
    </row>
    <row r="31" spans="2:14" ht="12.75" customHeight="1">
      <c r="B31" t="s">
        <v>81</v>
      </c>
      <c r="C31" s="20">
        <v>12</v>
      </c>
      <c r="D31" s="72">
        <v>3260</v>
      </c>
      <c r="E31" s="193"/>
      <c r="F31" s="23">
        <f t="shared" si="1"/>
        <v>0.84237726098191212</v>
      </c>
      <c r="G31" s="24">
        <f t="shared" si="2"/>
        <v>10.108527131782946</v>
      </c>
      <c r="J31" s="1">
        <v>66</v>
      </c>
      <c r="K31" s="1" t="s">
        <v>84</v>
      </c>
    </row>
    <row r="32" spans="2:14" ht="12.75" customHeight="1">
      <c r="B32" t="s">
        <v>82</v>
      </c>
      <c r="C32" s="20">
        <v>12</v>
      </c>
      <c r="D32" s="72">
        <v>3000</v>
      </c>
      <c r="E32" s="193"/>
      <c r="F32" s="23">
        <f t="shared" si="1"/>
        <v>0.77519379844961245</v>
      </c>
      <c r="G32" s="24">
        <f t="shared" si="2"/>
        <v>9.3023255813953494</v>
      </c>
      <c r="J32" s="1">
        <v>60.74</v>
      </c>
      <c r="K32" s="177">
        <f>AVERAGE(J28:J32)</f>
        <v>69.498000000000005</v>
      </c>
    </row>
    <row r="33" spans="2:10" ht="12.75" customHeight="1">
      <c r="B33" t="s">
        <v>83</v>
      </c>
      <c r="C33" s="20">
        <v>12</v>
      </c>
      <c r="D33" s="72">
        <v>2356.67</v>
      </c>
      <c r="E33" s="193"/>
      <c r="F33" s="23">
        <f t="shared" si="1"/>
        <v>0.60895865633074941</v>
      </c>
      <c r="G33" s="24">
        <f t="shared" si="2"/>
        <v>7.307503875968993</v>
      </c>
      <c r="J33" s="1">
        <v>47.72</v>
      </c>
    </row>
    <row r="34" spans="2:10" ht="5.0999999999999996" customHeight="1">
      <c r="C34" s="20"/>
      <c r="D34" s="15"/>
      <c r="E34" s="25"/>
      <c r="F34" s="26"/>
      <c r="G34" s="27"/>
    </row>
    <row r="35" spans="2:10" ht="16.5" customHeight="1">
      <c r="B35" s="28"/>
      <c r="C35" s="29" t="s">
        <v>30</v>
      </c>
      <c r="D35" s="30">
        <f>ROUND(AVERAGE(D27:D34),-1)</f>
        <v>3870</v>
      </c>
      <c r="E35" s="25"/>
      <c r="F35" s="26"/>
      <c r="G35" s="27"/>
    </row>
    <row r="36" spans="2:10" ht="5.0999999999999996" customHeight="1">
      <c r="C36" s="20"/>
      <c r="D36" s="15"/>
      <c r="E36" s="25"/>
      <c r="F36" s="26"/>
      <c r="G36" s="27"/>
    </row>
    <row r="37" spans="2:10" ht="12.75" customHeight="1">
      <c r="B37" t="s">
        <v>31</v>
      </c>
      <c r="C37" s="20">
        <v>4</v>
      </c>
      <c r="D37" s="72">
        <v>450</v>
      </c>
      <c r="E37" s="31" t="s">
        <v>32</v>
      </c>
      <c r="G37" s="27"/>
    </row>
    <row r="38" spans="2:10" ht="12.75" customHeight="1">
      <c r="B38" t="s">
        <v>31</v>
      </c>
      <c r="C38" s="20">
        <v>12</v>
      </c>
      <c r="D38" s="72">
        <v>450</v>
      </c>
      <c r="E38" s="31" t="s">
        <v>32</v>
      </c>
      <c r="G38" s="27"/>
    </row>
    <row r="39" spans="2:10" ht="12.75" customHeight="1">
      <c r="B39" t="s">
        <v>33</v>
      </c>
      <c r="C39" s="20">
        <v>12</v>
      </c>
      <c r="D39" s="72">
        <v>1900</v>
      </c>
      <c r="E39" s="31" t="s">
        <v>32</v>
      </c>
      <c r="G39" s="27"/>
    </row>
    <row r="40" spans="2:10" ht="4.5" customHeight="1">
      <c r="C40" s="20"/>
      <c r="D40" s="15"/>
      <c r="E40" s="26"/>
      <c r="F40" s="27"/>
    </row>
    <row r="41" spans="2:10" ht="12.75" customHeight="1">
      <c r="D41" s="32" t="s">
        <v>34</v>
      </c>
      <c r="G41" s="33">
        <f>SUM(G27:G34)</f>
        <v>72.330759689922473</v>
      </c>
    </row>
    <row r="42" spans="2:10" ht="5.25" customHeight="1">
      <c r="D42" s="16"/>
    </row>
    <row r="43" spans="2:10" ht="12.75" customHeight="1">
      <c r="E43" s="34" t="s">
        <v>35</v>
      </c>
      <c r="G43" s="7">
        <f>G20/G41</f>
        <v>8631.1826763099925</v>
      </c>
    </row>
    <row r="44" spans="2:10" ht="12.75" customHeight="1"/>
    <row r="45" spans="2:10" ht="15.75" customHeight="1">
      <c r="E45" s="13" t="s">
        <v>36</v>
      </c>
      <c r="G45" s="35">
        <f>G43/D35</f>
        <v>2.2302797613204115</v>
      </c>
    </row>
    <row r="46" spans="2:10" ht="20.100000000000001" customHeight="1"/>
    <row r="47" spans="2:10" ht="12.75" customHeight="1">
      <c r="B47" s="4" t="s">
        <v>37</v>
      </c>
      <c r="C47" s="5"/>
      <c r="D47" s="5"/>
      <c r="E47" s="5"/>
      <c r="F47" s="5"/>
      <c r="G47" s="5"/>
    </row>
    <row r="48" spans="2:10" ht="12.75" customHeight="1"/>
    <row r="49" spans="2:7" ht="15.75" customHeight="1">
      <c r="B49" s="36" t="str">
        <f>B28</f>
        <v>Geologe1</v>
      </c>
      <c r="D49" s="34" t="s">
        <v>38</v>
      </c>
      <c r="E49" s="202">
        <f>D28</f>
        <v>4000</v>
      </c>
      <c r="F49" s="37" t="s">
        <v>39</v>
      </c>
      <c r="G49" s="8">
        <f>E49*G45</f>
        <v>8921.1190452816463</v>
      </c>
    </row>
    <row r="50" spans="2:7" ht="2.25" customHeight="1"/>
    <row r="51" spans="2:7" ht="12.75" customHeight="1">
      <c r="D51" s="34" t="s">
        <v>40</v>
      </c>
      <c r="F51" s="22">
        <v>0.1</v>
      </c>
      <c r="G51" s="8">
        <f>G49*F51</f>
        <v>892.1119045281647</v>
      </c>
    </row>
    <row r="52" spans="2:7" ht="5.25" customHeight="1" thickBot="1">
      <c r="D52" s="34"/>
      <c r="F52" s="22"/>
      <c r="G52" s="8"/>
    </row>
    <row r="53" spans="2:7" ht="16.5" customHeight="1" thickBot="1">
      <c r="D53" s="34"/>
      <c r="F53" s="38" t="s">
        <v>41</v>
      </c>
      <c r="G53" s="39">
        <f>ROUND(G49+G51,0)</f>
        <v>9813</v>
      </c>
    </row>
    <row r="54" spans="2:7" ht="12.75" customHeight="1">
      <c r="D54" s="34"/>
      <c r="F54" s="22"/>
      <c r="G54" s="8"/>
    </row>
    <row r="55" spans="2:7" ht="9" customHeight="1" thickBot="1"/>
    <row r="56" spans="2:7" ht="15.95" customHeight="1">
      <c r="B56" s="40"/>
      <c r="C56" s="41"/>
      <c r="D56" s="41"/>
      <c r="E56" s="42" t="s">
        <v>42</v>
      </c>
      <c r="F56" s="43">
        <v>10.5</v>
      </c>
      <c r="G56" s="44">
        <f>G53*12/F56</f>
        <v>11214.857142857143</v>
      </c>
    </row>
    <row r="57" spans="2:7" ht="4.5" customHeight="1">
      <c r="B57" s="45"/>
      <c r="C57" s="46"/>
      <c r="D57" s="46"/>
      <c r="E57" s="46"/>
      <c r="F57" s="46"/>
      <c r="G57" s="47"/>
    </row>
    <row r="58" spans="2:7" ht="15.95" customHeight="1" thickBot="1">
      <c r="B58" s="48"/>
      <c r="C58" s="49"/>
      <c r="D58" s="49"/>
      <c r="E58" s="50" t="s">
        <v>43</v>
      </c>
      <c r="F58" s="51">
        <v>127</v>
      </c>
      <c r="G58" s="52">
        <f>G53/F58</f>
        <v>77.267716535433067</v>
      </c>
    </row>
    <row r="59" spans="2:7" ht="12.75" customHeight="1">
      <c r="E59" s="13"/>
    </row>
    <row r="60" spans="2:7" ht="12.75" customHeight="1"/>
  </sheetData>
  <mergeCells count="12">
    <mergeCell ref="E3:F3"/>
    <mergeCell ref="E4:F4"/>
    <mergeCell ref="E5:F5"/>
    <mergeCell ref="E6:F6"/>
    <mergeCell ref="E7:F7"/>
    <mergeCell ref="B17:E17"/>
    <mergeCell ref="E28:E33"/>
    <mergeCell ref="E8:F8"/>
    <mergeCell ref="E9:F9"/>
    <mergeCell ref="E10:F10"/>
    <mergeCell ref="E11:F11"/>
    <mergeCell ref="E13:F13"/>
  </mergeCells>
  <pageMargins left="0.70866141732283472" right="0.70866141732283472" top="0.78740157480314965" bottom="0.78740157480314965" header="0.31496062992125984" footer="0.31496062992125984"/>
  <pageSetup paperSize="9" scale="77" orientation="portrait" r:id="rId1"/>
  <headerFooter>
    <oddHeader>&amp;C&amp;A</oddHeader>
    <oddFooter>&amp;L&amp;D</oddFooter>
  </headerFooter>
  <drawing r:id="rId2"/>
</worksheet>
</file>

<file path=xl/worksheets/sheet3.xml><?xml version="1.0" encoding="utf-8"?>
<worksheet xmlns="http://schemas.openxmlformats.org/spreadsheetml/2006/main" xmlns:r="http://schemas.openxmlformats.org/officeDocument/2006/relationships">
  <sheetPr codeName="Tabelle2">
    <pageSetUpPr fitToPage="1"/>
  </sheetPr>
  <dimension ref="A1:E21"/>
  <sheetViews>
    <sheetView workbookViewId="0">
      <selection activeCell="D22" sqref="D22"/>
    </sheetView>
  </sheetViews>
  <sheetFormatPr baseColWidth="10" defaultRowHeight="15"/>
  <sheetData>
    <row r="1" spans="1:5" ht="15.75" thickBot="1">
      <c r="A1" s="175" t="s">
        <v>86</v>
      </c>
    </row>
    <row r="2" spans="1:5">
      <c r="A2" s="176"/>
    </row>
    <row r="3" spans="1:5" ht="15" customHeight="1">
      <c r="A3" s="195" t="s">
        <v>87</v>
      </c>
      <c r="B3" s="195"/>
      <c r="C3" s="75" t="s">
        <v>88</v>
      </c>
      <c r="D3" s="74"/>
      <c r="E3" s="74"/>
    </row>
    <row r="4" spans="1:5" ht="15" customHeight="1">
      <c r="A4" s="195" t="s">
        <v>89</v>
      </c>
      <c r="B4" s="195"/>
      <c r="C4" s="75" t="s">
        <v>88</v>
      </c>
      <c r="D4" s="74"/>
      <c r="E4" s="74"/>
    </row>
    <row r="5" spans="1:5" ht="15" customHeight="1">
      <c r="A5" s="195" t="s">
        <v>90</v>
      </c>
      <c r="B5" s="195"/>
      <c r="C5" s="75" t="s">
        <v>88</v>
      </c>
      <c r="D5" s="74"/>
      <c r="E5" s="74"/>
    </row>
    <row r="6" spans="1:5" ht="15.75" thickBot="1">
      <c r="A6" s="198" t="s">
        <v>91</v>
      </c>
      <c r="B6" s="198"/>
      <c r="C6" s="76" t="s">
        <v>103</v>
      </c>
      <c r="D6" s="74" t="s">
        <v>92</v>
      </c>
      <c r="E6" s="76" t="s">
        <v>104</v>
      </c>
    </row>
    <row r="7" spans="1:5" ht="15.75" thickTop="1">
      <c r="A7" s="195"/>
      <c r="B7" s="195"/>
      <c r="C7" s="195"/>
      <c r="D7" s="195"/>
      <c r="E7" s="195"/>
    </row>
    <row r="8" spans="1:5" ht="15" customHeight="1">
      <c r="A8" s="198" t="s">
        <v>93</v>
      </c>
      <c r="B8" s="198"/>
      <c r="C8" s="198"/>
      <c r="D8" s="198"/>
      <c r="E8" s="198"/>
    </row>
    <row r="9" spans="1:5" ht="15" customHeight="1">
      <c r="A9" s="195" t="s">
        <v>94</v>
      </c>
      <c r="B9" s="195"/>
      <c r="C9" s="195"/>
      <c r="D9" s="195"/>
      <c r="E9" s="195"/>
    </row>
    <row r="10" spans="1:5">
      <c r="A10" s="74"/>
      <c r="B10" s="74" t="s">
        <v>95</v>
      </c>
      <c r="C10" s="75"/>
      <c r="D10" s="75">
        <v>3.22</v>
      </c>
      <c r="E10" s="77" t="s">
        <v>105</v>
      </c>
    </row>
    <row r="11" spans="1:5" ht="30">
      <c r="A11" s="74"/>
      <c r="B11" s="74" t="s">
        <v>96</v>
      </c>
      <c r="C11" s="75"/>
      <c r="D11" s="75">
        <v>2.87</v>
      </c>
      <c r="E11" s="77" t="s">
        <v>106</v>
      </c>
    </row>
    <row r="12" spans="1:5" ht="30">
      <c r="A12" s="74"/>
      <c r="B12" s="74" t="s">
        <v>97</v>
      </c>
      <c r="C12" s="75"/>
      <c r="D12" s="75">
        <v>2.94</v>
      </c>
      <c r="E12" s="79" t="s">
        <v>107</v>
      </c>
    </row>
    <row r="13" spans="1:5" ht="30">
      <c r="A13" s="74"/>
      <c r="B13" s="74" t="s">
        <v>98</v>
      </c>
      <c r="C13" s="75"/>
      <c r="D13" s="75">
        <v>2.67</v>
      </c>
      <c r="E13" s="77" t="s">
        <v>108</v>
      </c>
    </row>
    <row r="14" spans="1:5" ht="30">
      <c r="A14" s="74"/>
      <c r="B14" s="74" t="s">
        <v>99</v>
      </c>
      <c r="C14" s="75"/>
      <c r="D14" s="75">
        <v>2.77</v>
      </c>
      <c r="E14" s="77" t="s">
        <v>109</v>
      </c>
    </row>
    <row r="15" spans="1:5" ht="30">
      <c r="A15" s="74"/>
      <c r="B15" s="74" t="s">
        <v>100</v>
      </c>
      <c r="C15" s="75"/>
      <c r="D15" s="75">
        <v>3.1</v>
      </c>
      <c r="E15" s="77" t="s">
        <v>110</v>
      </c>
    </row>
    <row r="16" spans="1:5">
      <c r="A16" s="195"/>
      <c r="B16" s="195"/>
      <c r="C16" s="195"/>
      <c r="D16" s="195"/>
      <c r="E16" s="195"/>
    </row>
    <row r="17" spans="1:5" ht="15.75" thickBot="1">
      <c r="A17" s="196" t="s">
        <v>101</v>
      </c>
      <c r="B17" s="196"/>
      <c r="C17" s="196"/>
      <c r="D17" s="196"/>
      <c r="E17" s="196"/>
    </row>
    <row r="18" spans="1:5" ht="15.75">
      <c r="A18" s="197" t="s">
        <v>102</v>
      </c>
      <c r="B18" s="197"/>
      <c r="C18" s="197"/>
      <c r="D18" s="74"/>
      <c r="E18" s="78" t="s">
        <v>111</v>
      </c>
    </row>
    <row r="20" spans="1:5">
      <c r="A20" t="s">
        <v>113</v>
      </c>
    </row>
    <row r="21" spans="1:5">
      <c r="A21" t="s">
        <v>112</v>
      </c>
    </row>
  </sheetData>
  <mergeCells count="10">
    <mergeCell ref="A9:E9"/>
    <mergeCell ref="A16:E16"/>
    <mergeCell ref="A17:E17"/>
    <mergeCell ref="A18:C18"/>
    <mergeCell ref="A3:B3"/>
    <mergeCell ref="A4:B4"/>
    <mergeCell ref="A5:B5"/>
    <mergeCell ref="A6:B6"/>
    <mergeCell ref="A7:E7"/>
    <mergeCell ref="A8:E8"/>
  </mergeCells>
  <pageMargins left="0.70866141732283472" right="0.70866141732283472" top="0.78740157480314965" bottom="0.78740157480314965" header="0.31496062992125984" footer="0.31496062992125984"/>
  <pageSetup paperSize="9" orientation="portrait" r:id="rId1"/>
  <headerFooter>
    <oddHeader>&amp;C&amp;A</oddHeader>
    <oddFooter>&amp;L&amp;D</oddFooter>
  </headerFooter>
  <legacyDrawing r:id="rId2"/>
  <controls>
    <control shapeId="5121" r:id="rId3" name="Control 1"/>
    <control shapeId="5122" r:id="rId4" name="Control 2"/>
    <control shapeId="5123" r:id="rId5" name="Control 3"/>
    <control shapeId="5124" r:id="rId6" name="Control 4"/>
    <control shapeId="5125" r:id="rId7" name="Control 5"/>
    <control shapeId="5126" r:id="rId8" name="Control 6"/>
    <control shapeId="5127" r:id="rId9" name="Control 7"/>
    <control shapeId="5128" r:id="rId10" name="Control 8"/>
    <control shapeId="5129" r:id="rId11" name="Control 9"/>
  </controls>
</worksheet>
</file>

<file path=xl/worksheets/sheet4.xml><?xml version="1.0" encoding="utf-8"?>
<worksheet xmlns="http://schemas.openxmlformats.org/spreadsheetml/2006/main" xmlns:r="http://schemas.openxmlformats.org/officeDocument/2006/relationships">
  <sheetPr>
    <pageSetUpPr fitToPage="1"/>
  </sheetPr>
  <dimension ref="A1:E26"/>
  <sheetViews>
    <sheetView workbookViewId="0">
      <selection activeCell="D22" sqref="D22"/>
    </sheetView>
  </sheetViews>
  <sheetFormatPr baseColWidth="10" defaultColWidth="11.42578125" defaultRowHeight="15"/>
  <cols>
    <col min="1" max="1" width="17.28515625" bestFit="1" customWidth="1"/>
    <col min="2" max="2" width="8.7109375" customWidth="1"/>
    <col min="3" max="3" width="11.42578125" style="57" customWidth="1"/>
  </cols>
  <sheetData>
    <row r="1" spans="1:5" ht="15.75">
      <c r="A1" s="56" t="s">
        <v>57</v>
      </c>
    </row>
    <row r="2" spans="1:5">
      <c r="C2" s="57" t="s">
        <v>58</v>
      </c>
      <c r="D2" t="s">
        <v>60</v>
      </c>
    </row>
    <row r="3" spans="1:5">
      <c r="A3" s="58" t="s">
        <v>61</v>
      </c>
      <c r="B3" s="59">
        <v>365</v>
      </c>
      <c r="C3" s="57">
        <f>B3*8</f>
        <v>2920</v>
      </c>
      <c r="D3" s="60">
        <v>1</v>
      </c>
    </row>
    <row r="4" spans="1:5">
      <c r="D4" s="60"/>
    </row>
    <row r="5" spans="1:5">
      <c r="A5" s="61" t="s">
        <v>62</v>
      </c>
      <c r="D5" s="60"/>
    </row>
    <row r="6" spans="1:5">
      <c r="A6" t="s">
        <v>63</v>
      </c>
      <c r="B6">
        <v>104</v>
      </c>
      <c r="D6" s="60"/>
    </row>
    <row r="7" spans="1:5">
      <c r="A7" t="s">
        <v>64</v>
      </c>
      <c r="B7">
        <v>13</v>
      </c>
      <c r="D7" s="60"/>
    </row>
    <row r="8" spans="1:5">
      <c r="D8" s="60"/>
      <c r="E8" s="60"/>
    </row>
    <row r="9" spans="1:5">
      <c r="A9" s="58" t="s">
        <v>65</v>
      </c>
      <c r="B9" s="59">
        <f>B3-(B6+B7)</f>
        <v>248</v>
      </c>
      <c r="C9" s="57">
        <f>B9*8</f>
        <v>1984</v>
      </c>
      <c r="D9" s="60">
        <f>C9/C3</f>
        <v>0.67945205479452053</v>
      </c>
      <c r="E9" s="60">
        <v>1</v>
      </c>
    </row>
    <row r="10" spans="1:5">
      <c r="D10" s="60"/>
    </row>
    <row r="11" spans="1:5">
      <c r="A11" t="s">
        <v>66</v>
      </c>
      <c r="B11">
        <v>30</v>
      </c>
      <c r="D11" s="60"/>
    </row>
    <row r="12" spans="1:5">
      <c r="D12" s="60"/>
    </row>
    <row r="13" spans="1:5">
      <c r="A13" s="58" t="s">
        <v>65</v>
      </c>
      <c r="B13" s="59">
        <f>B9-B11</f>
        <v>218</v>
      </c>
      <c r="C13" s="57">
        <f>B13*8</f>
        <v>1744</v>
      </c>
      <c r="D13" s="60">
        <f>C13/C3</f>
        <v>0.59726027397260273</v>
      </c>
      <c r="E13" s="60">
        <f>C13/C9</f>
        <v>0.87903225806451613</v>
      </c>
    </row>
    <row r="14" spans="1:5">
      <c r="D14" s="60"/>
      <c r="E14" s="60"/>
    </row>
    <row r="15" spans="1:5">
      <c r="A15" t="s">
        <v>67</v>
      </c>
      <c r="B15">
        <v>6</v>
      </c>
      <c r="D15" s="60"/>
      <c r="E15" s="60"/>
    </row>
    <row r="16" spans="1:5">
      <c r="D16" s="60"/>
      <c r="E16" s="60"/>
    </row>
    <row r="17" spans="1:5">
      <c r="A17" s="58" t="s">
        <v>65</v>
      </c>
      <c r="B17" s="59">
        <f>B13-B15</f>
        <v>212</v>
      </c>
      <c r="C17" s="63">
        <f>B17*8</f>
        <v>1696</v>
      </c>
      <c r="D17" s="60">
        <f>C17/C3</f>
        <v>0.58082191780821912</v>
      </c>
      <c r="E17" s="60">
        <f>C17/C9</f>
        <v>0.85483870967741937</v>
      </c>
    </row>
    <row r="18" spans="1:5">
      <c r="A18" s="68"/>
      <c r="B18" s="68"/>
      <c r="C18" s="63"/>
      <c r="D18" s="60"/>
      <c r="E18" s="60"/>
    </row>
    <row r="19" spans="1:5">
      <c r="A19" s="68" t="s">
        <v>69</v>
      </c>
      <c r="B19" s="68">
        <v>4</v>
      </c>
      <c r="C19" s="63">
        <f>B19*8</f>
        <v>32</v>
      </c>
      <c r="D19" s="60"/>
      <c r="E19" s="60"/>
    </row>
    <row r="20" spans="1:5">
      <c r="A20" s="68" t="s">
        <v>70</v>
      </c>
      <c r="B20" s="68">
        <v>12</v>
      </c>
      <c r="C20" s="63">
        <f>B20*8</f>
        <v>96</v>
      </c>
      <c r="D20" s="60"/>
      <c r="E20" s="60"/>
    </row>
    <row r="21" spans="1:5">
      <c r="A21" s="68" t="s">
        <v>71</v>
      </c>
      <c r="B21" s="68">
        <v>6</v>
      </c>
      <c r="C21" s="63">
        <f t="shared" ref="C21:C22" si="0">B21*8</f>
        <v>48</v>
      </c>
      <c r="D21" s="60"/>
      <c r="E21" s="60"/>
    </row>
    <row r="22" spans="1:5">
      <c r="A22" s="68" t="s">
        <v>72</v>
      </c>
      <c r="B22" s="68">
        <v>6</v>
      </c>
      <c r="C22" s="63">
        <f t="shared" si="0"/>
        <v>48</v>
      </c>
      <c r="D22" s="60"/>
      <c r="E22" s="60"/>
    </row>
    <row r="23" spans="1:5">
      <c r="A23" s="68"/>
      <c r="B23" s="68"/>
      <c r="C23" s="63"/>
      <c r="D23" s="60"/>
      <c r="E23" s="60"/>
    </row>
    <row r="24" spans="1:5">
      <c r="A24" s="68" t="s">
        <v>65</v>
      </c>
      <c r="B24" s="64">
        <f>B17-B19-B20-B21-B22</f>
        <v>184</v>
      </c>
      <c r="C24" s="63">
        <f>C17-C19-C20-C21-C22</f>
        <v>1472</v>
      </c>
      <c r="D24" s="60"/>
      <c r="E24" s="60"/>
    </row>
    <row r="25" spans="1:5">
      <c r="A25" s="68"/>
      <c r="B25" s="68"/>
      <c r="C25" s="63"/>
      <c r="D25" s="60"/>
      <c r="E25" s="60"/>
    </row>
    <row r="26" spans="1:5">
      <c r="A26" s="62" t="s">
        <v>68</v>
      </c>
      <c r="B26" s="66">
        <f>B24/12</f>
        <v>15.333333333333334</v>
      </c>
      <c r="C26" s="65">
        <f>C24/12</f>
        <v>122.66666666666667</v>
      </c>
      <c r="D26" s="60"/>
    </row>
  </sheetData>
  <pageMargins left="0.70866141732283472" right="0.70866141732283472" top="0.78740157480314965" bottom="0.78740157480314965" header="0.31496062992125984" footer="0.31496062992125984"/>
  <pageSetup paperSize="9" orientation="portrait" r:id="rId1"/>
  <headerFooter>
    <oddHeader>&amp;C&amp;A</oddHeader>
    <oddFooter>&amp;L&amp;D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3"/>
  <sheetViews>
    <sheetView workbookViewId="0">
      <selection activeCell="B5" sqref="B5"/>
    </sheetView>
  </sheetViews>
  <sheetFormatPr baseColWidth="10" defaultRowHeight="15"/>
  <cols>
    <col min="1" max="1" width="13.5703125" bestFit="1" customWidth="1"/>
    <col min="2" max="6" width="11" bestFit="1" customWidth="1"/>
  </cols>
  <sheetData>
    <row r="1" spans="1:6">
      <c r="A1" s="3" t="s">
        <v>1</v>
      </c>
      <c r="B1" s="3" t="s">
        <v>2</v>
      </c>
      <c r="C1" s="3" t="s">
        <v>3</v>
      </c>
      <c r="D1" s="3" t="s">
        <v>4</v>
      </c>
      <c r="E1" s="3" t="s">
        <v>5</v>
      </c>
      <c r="F1" s="3" t="s">
        <v>6</v>
      </c>
    </row>
    <row r="2" spans="1:6">
      <c r="A2" s="3" t="s">
        <v>0</v>
      </c>
      <c r="B2" s="2">
        <v>5140.8500000000004</v>
      </c>
      <c r="C2" s="2">
        <v>5705.47</v>
      </c>
      <c r="D2" s="2">
        <v>6240.35</v>
      </c>
      <c r="E2" s="2">
        <v>6596.95</v>
      </c>
      <c r="F2" s="2">
        <v>6680.16</v>
      </c>
    </row>
    <row r="3" spans="1:6">
      <c r="A3" s="3">
        <v>15</v>
      </c>
      <c r="B3" s="2">
        <v>4081.78</v>
      </c>
      <c r="C3" s="2">
        <v>4528.7299999999996</v>
      </c>
      <c r="D3" s="2">
        <v>4695.13</v>
      </c>
      <c r="E3" s="2">
        <v>5289.44</v>
      </c>
      <c r="F3" s="2">
        <v>5741.12</v>
      </c>
    </row>
    <row r="4" spans="1:6">
      <c r="A4" s="3">
        <v>14</v>
      </c>
      <c r="B4" s="2">
        <v>3696.66</v>
      </c>
      <c r="C4" s="2">
        <v>4100.79</v>
      </c>
      <c r="D4" s="2">
        <v>4338.5200000000004</v>
      </c>
      <c r="E4" s="2">
        <v>4695.13</v>
      </c>
      <c r="F4" s="2">
        <v>5241.91</v>
      </c>
    </row>
    <row r="5" spans="1:6">
      <c r="A5" s="3">
        <v>13</v>
      </c>
      <c r="B5" s="2">
        <v>3407.83</v>
      </c>
      <c r="C5" s="2">
        <v>3779.87</v>
      </c>
      <c r="D5" s="2">
        <v>3981.95</v>
      </c>
      <c r="E5" s="2">
        <v>4374.16</v>
      </c>
      <c r="F5" s="2">
        <v>4920.95</v>
      </c>
    </row>
    <row r="7" spans="1:6">
      <c r="A7" s="70" t="s">
        <v>224</v>
      </c>
      <c r="B7" t="s">
        <v>225</v>
      </c>
    </row>
    <row r="11" spans="1:6" ht="30">
      <c r="A11" s="199" t="s">
        <v>226</v>
      </c>
      <c r="B11" s="184" t="s">
        <v>227</v>
      </c>
      <c r="C11" s="187" t="s">
        <v>229</v>
      </c>
      <c r="D11" s="184" t="s">
        <v>231</v>
      </c>
      <c r="E11" s="184" t="s">
        <v>234</v>
      </c>
      <c r="F11" s="184" t="s">
        <v>237</v>
      </c>
    </row>
    <row r="12" spans="1:6">
      <c r="A12" s="200"/>
      <c r="B12" s="185" t="s">
        <v>228</v>
      </c>
      <c r="C12" s="188" t="s">
        <v>230</v>
      </c>
      <c r="D12" s="185" t="s">
        <v>232</v>
      </c>
      <c r="E12" s="185" t="s">
        <v>235</v>
      </c>
      <c r="F12" s="185" t="s">
        <v>238</v>
      </c>
    </row>
    <row r="13" spans="1:6" ht="30">
      <c r="A13" s="201"/>
      <c r="B13" s="186"/>
      <c r="C13" s="189"/>
      <c r="D13" s="186" t="s">
        <v>233</v>
      </c>
      <c r="E13" s="186" t="s">
        <v>236</v>
      </c>
      <c r="F13" s="186" t="s">
        <v>239</v>
      </c>
    </row>
  </sheetData>
  <mergeCells count="1">
    <mergeCell ref="A11:A13"/>
  </mergeCells>
  <pageMargins left="0.70866141732283472" right="0.70866141732283472" top="0.78740157480314965" bottom="0.78740157480314965" header="0.31496062992125984" footer="0.31496062992125984"/>
  <pageSetup paperSize="9" orientation="portrait" r:id="rId1"/>
  <headerFooter>
    <oddHeader>&amp;C&amp;A</oddHeader>
    <oddFooter>&amp;L&amp;D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21"/>
  <sheetViews>
    <sheetView workbookViewId="0">
      <selection activeCell="D22" sqref="D22"/>
    </sheetView>
  </sheetViews>
  <sheetFormatPr baseColWidth="10" defaultColWidth="9.140625" defaultRowHeight="15"/>
  <cols>
    <col min="1" max="1" width="37.5703125" style="98" bestFit="1" customWidth="1"/>
    <col min="2" max="2" width="4" style="46" bestFit="1" customWidth="1"/>
    <col min="3" max="3" width="1" style="46" customWidth="1"/>
    <col min="4" max="4" width="7.28515625" style="46" customWidth="1"/>
    <col min="5" max="5" width="7.5703125" style="46" bestFit="1" customWidth="1"/>
    <col min="6" max="6" width="1.28515625" style="46" customWidth="1"/>
    <col min="7" max="7" width="7.28515625" style="46" customWidth="1"/>
    <col min="8" max="8" width="7.5703125" style="46" bestFit="1" customWidth="1"/>
    <col min="9" max="9" width="2.28515625" style="46" customWidth="1"/>
    <col min="10" max="256" width="9.140625" style="46"/>
    <col min="257" max="257" width="37.5703125" style="46" bestFit="1" customWidth="1"/>
    <col min="258" max="258" width="4" style="46" bestFit="1" customWidth="1"/>
    <col min="259" max="259" width="1" style="46" customWidth="1"/>
    <col min="260" max="260" width="7.28515625" style="46" customWidth="1"/>
    <col min="261" max="261" width="7.5703125" style="46" bestFit="1" customWidth="1"/>
    <col min="262" max="262" width="1.28515625" style="46" customWidth="1"/>
    <col min="263" max="263" width="7.28515625" style="46" customWidth="1"/>
    <col min="264" max="264" width="7.5703125" style="46" bestFit="1" customWidth="1"/>
    <col min="265" max="265" width="2.28515625" style="46" customWidth="1"/>
    <col min="266" max="512" width="9.140625" style="46"/>
    <col min="513" max="513" width="37.5703125" style="46" bestFit="1" customWidth="1"/>
    <col min="514" max="514" width="4" style="46" bestFit="1" customWidth="1"/>
    <col min="515" max="515" width="1" style="46" customWidth="1"/>
    <col min="516" max="516" width="7.28515625" style="46" customWidth="1"/>
    <col min="517" max="517" width="7.5703125" style="46" bestFit="1" customWidth="1"/>
    <col min="518" max="518" width="1.28515625" style="46" customWidth="1"/>
    <col min="519" max="519" width="7.28515625" style="46" customWidth="1"/>
    <col min="520" max="520" width="7.5703125" style="46" bestFit="1" customWidth="1"/>
    <col min="521" max="521" width="2.28515625" style="46" customWidth="1"/>
    <col min="522" max="768" width="9.140625" style="46"/>
    <col min="769" max="769" width="37.5703125" style="46" bestFit="1" customWidth="1"/>
    <col min="770" max="770" width="4" style="46" bestFit="1" customWidth="1"/>
    <col min="771" max="771" width="1" style="46" customWidth="1"/>
    <col min="772" max="772" width="7.28515625" style="46" customWidth="1"/>
    <col min="773" max="773" width="7.5703125" style="46" bestFit="1" customWidth="1"/>
    <col min="774" max="774" width="1.28515625" style="46" customWidth="1"/>
    <col min="775" max="775" width="7.28515625" style="46" customWidth="1"/>
    <col min="776" max="776" width="7.5703125" style="46" bestFit="1" customWidth="1"/>
    <col min="777" max="777" width="2.28515625" style="46" customWidth="1"/>
    <col min="778" max="1024" width="9.140625" style="46"/>
    <col min="1025" max="1025" width="37.5703125" style="46" bestFit="1" customWidth="1"/>
    <col min="1026" max="1026" width="4" style="46" bestFit="1" customWidth="1"/>
    <col min="1027" max="1027" width="1" style="46" customWidth="1"/>
    <col min="1028" max="1028" width="7.28515625" style="46" customWidth="1"/>
    <col min="1029" max="1029" width="7.5703125" style="46" bestFit="1" customWidth="1"/>
    <col min="1030" max="1030" width="1.28515625" style="46" customWidth="1"/>
    <col min="1031" max="1031" width="7.28515625" style="46" customWidth="1"/>
    <col min="1032" max="1032" width="7.5703125" style="46" bestFit="1" customWidth="1"/>
    <col min="1033" max="1033" width="2.28515625" style="46" customWidth="1"/>
    <col min="1034" max="1280" width="9.140625" style="46"/>
    <col min="1281" max="1281" width="37.5703125" style="46" bestFit="1" customWidth="1"/>
    <col min="1282" max="1282" width="4" style="46" bestFit="1" customWidth="1"/>
    <col min="1283" max="1283" width="1" style="46" customWidth="1"/>
    <col min="1284" max="1284" width="7.28515625" style="46" customWidth="1"/>
    <col min="1285" max="1285" width="7.5703125" style="46" bestFit="1" customWidth="1"/>
    <col min="1286" max="1286" width="1.28515625" style="46" customWidth="1"/>
    <col min="1287" max="1287" width="7.28515625" style="46" customWidth="1"/>
    <col min="1288" max="1288" width="7.5703125" style="46" bestFit="1" customWidth="1"/>
    <col min="1289" max="1289" width="2.28515625" style="46" customWidth="1"/>
    <col min="1290" max="1536" width="9.140625" style="46"/>
    <col min="1537" max="1537" width="37.5703125" style="46" bestFit="1" customWidth="1"/>
    <col min="1538" max="1538" width="4" style="46" bestFit="1" customWidth="1"/>
    <col min="1539" max="1539" width="1" style="46" customWidth="1"/>
    <col min="1540" max="1540" width="7.28515625" style="46" customWidth="1"/>
    <col min="1541" max="1541" width="7.5703125" style="46" bestFit="1" customWidth="1"/>
    <col min="1542" max="1542" width="1.28515625" style="46" customWidth="1"/>
    <col min="1543" max="1543" width="7.28515625" style="46" customWidth="1"/>
    <col min="1544" max="1544" width="7.5703125" style="46" bestFit="1" customWidth="1"/>
    <col min="1545" max="1545" width="2.28515625" style="46" customWidth="1"/>
    <col min="1546" max="1792" width="9.140625" style="46"/>
    <col min="1793" max="1793" width="37.5703125" style="46" bestFit="1" customWidth="1"/>
    <col min="1794" max="1794" width="4" style="46" bestFit="1" customWidth="1"/>
    <col min="1795" max="1795" width="1" style="46" customWidth="1"/>
    <col min="1796" max="1796" width="7.28515625" style="46" customWidth="1"/>
    <col min="1797" max="1797" width="7.5703125" style="46" bestFit="1" customWidth="1"/>
    <col min="1798" max="1798" width="1.28515625" style="46" customWidth="1"/>
    <col min="1799" max="1799" width="7.28515625" style="46" customWidth="1"/>
    <col min="1800" max="1800" width="7.5703125" style="46" bestFit="1" customWidth="1"/>
    <col min="1801" max="1801" width="2.28515625" style="46" customWidth="1"/>
    <col min="1802" max="2048" width="9.140625" style="46"/>
    <col min="2049" max="2049" width="37.5703125" style="46" bestFit="1" customWidth="1"/>
    <col min="2050" max="2050" width="4" style="46" bestFit="1" customWidth="1"/>
    <col min="2051" max="2051" width="1" style="46" customWidth="1"/>
    <col min="2052" max="2052" width="7.28515625" style="46" customWidth="1"/>
    <col min="2053" max="2053" width="7.5703125" style="46" bestFit="1" customWidth="1"/>
    <col min="2054" max="2054" width="1.28515625" style="46" customWidth="1"/>
    <col min="2055" max="2055" width="7.28515625" style="46" customWidth="1"/>
    <col min="2056" max="2056" width="7.5703125" style="46" bestFit="1" customWidth="1"/>
    <col min="2057" max="2057" width="2.28515625" style="46" customWidth="1"/>
    <col min="2058" max="2304" width="9.140625" style="46"/>
    <col min="2305" max="2305" width="37.5703125" style="46" bestFit="1" customWidth="1"/>
    <col min="2306" max="2306" width="4" style="46" bestFit="1" customWidth="1"/>
    <col min="2307" max="2307" width="1" style="46" customWidth="1"/>
    <col min="2308" max="2308" width="7.28515625" style="46" customWidth="1"/>
    <col min="2309" max="2309" width="7.5703125" style="46" bestFit="1" customWidth="1"/>
    <col min="2310" max="2310" width="1.28515625" style="46" customWidth="1"/>
    <col min="2311" max="2311" width="7.28515625" style="46" customWidth="1"/>
    <col min="2312" max="2312" width="7.5703125" style="46" bestFit="1" customWidth="1"/>
    <col min="2313" max="2313" width="2.28515625" style="46" customWidth="1"/>
    <col min="2314" max="2560" width="9.140625" style="46"/>
    <col min="2561" max="2561" width="37.5703125" style="46" bestFit="1" customWidth="1"/>
    <col min="2562" max="2562" width="4" style="46" bestFit="1" customWidth="1"/>
    <col min="2563" max="2563" width="1" style="46" customWidth="1"/>
    <col min="2564" max="2564" width="7.28515625" style="46" customWidth="1"/>
    <col min="2565" max="2565" width="7.5703125" style="46" bestFit="1" customWidth="1"/>
    <col min="2566" max="2566" width="1.28515625" style="46" customWidth="1"/>
    <col min="2567" max="2567" width="7.28515625" style="46" customWidth="1"/>
    <col min="2568" max="2568" width="7.5703125" style="46" bestFit="1" customWidth="1"/>
    <col min="2569" max="2569" width="2.28515625" style="46" customWidth="1"/>
    <col min="2570" max="2816" width="9.140625" style="46"/>
    <col min="2817" max="2817" width="37.5703125" style="46" bestFit="1" customWidth="1"/>
    <col min="2818" max="2818" width="4" style="46" bestFit="1" customWidth="1"/>
    <col min="2819" max="2819" width="1" style="46" customWidth="1"/>
    <col min="2820" max="2820" width="7.28515625" style="46" customWidth="1"/>
    <col min="2821" max="2821" width="7.5703125" style="46" bestFit="1" customWidth="1"/>
    <col min="2822" max="2822" width="1.28515625" style="46" customWidth="1"/>
    <col min="2823" max="2823" width="7.28515625" style="46" customWidth="1"/>
    <col min="2824" max="2824" width="7.5703125" style="46" bestFit="1" customWidth="1"/>
    <col min="2825" max="2825" width="2.28515625" style="46" customWidth="1"/>
    <col min="2826" max="3072" width="9.140625" style="46"/>
    <col min="3073" max="3073" width="37.5703125" style="46" bestFit="1" customWidth="1"/>
    <col min="3074" max="3074" width="4" style="46" bestFit="1" customWidth="1"/>
    <col min="3075" max="3075" width="1" style="46" customWidth="1"/>
    <col min="3076" max="3076" width="7.28515625" style="46" customWidth="1"/>
    <col min="3077" max="3077" width="7.5703125" style="46" bestFit="1" customWidth="1"/>
    <col min="3078" max="3078" width="1.28515625" style="46" customWidth="1"/>
    <col min="3079" max="3079" width="7.28515625" style="46" customWidth="1"/>
    <col min="3080" max="3080" width="7.5703125" style="46" bestFit="1" customWidth="1"/>
    <col min="3081" max="3081" width="2.28515625" style="46" customWidth="1"/>
    <col min="3082" max="3328" width="9.140625" style="46"/>
    <col min="3329" max="3329" width="37.5703125" style="46" bestFit="1" customWidth="1"/>
    <col min="3330" max="3330" width="4" style="46" bestFit="1" customWidth="1"/>
    <col min="3331" max="3331" width="1" style="46" customWidth="1"/>
    <col min="3332" max="3332" width="7.28515625" style="46" customWidth="1"/>
    <col min="3333" max="3333" width="7.5703125" style="46" bestFit="1" customWidth="1"/>
    <col min="3334" max="3334" width="1.28515625" style="46" customWidth="1"/>
    <col min="3335" max="3335" width="7.28515625" style="46" customWidth="1"/>
    <col min="3336" max="3336" width="7.5703125" style="46" bestFit="1" customWidth="1"/>
    <col min="3337" max="3337" width="2.28515625" style="46" customWidth="1"/>
    <col min="3338" max="3584" width="9.140625" style="46"/>
    <col min="3585" max="3585" width="37.5703125" style="46" bestFit="1" customWidth="1"/>
    <col min="3586" max="3586" width="4" style="46" bestFit="1" customWidth="1"/>
    <col min="3587" max="3587" width="1" style="46" customWidth="1"/>
    <col min="3588" max="3588" width="7.28515625" style="46" customWidth="1"/>
    <col min="3589" max="3589" width="7.5703125" style="46" bestFit="1" customWidth="1"/>
    <col min="3590" max="3590" width="1.28515625" style="46" customWidth="1"/>
    <col min="3591" max="3591" width="7.28515625" style="46" customWidth="1"/>
    <col min="3592" max="3592" width="7.5703125" style="46" bestFit="1" customWidth="1"/>
    <col min="3593" max="3593" width="2.28515625" style="46" customWidth="1"/>
    <col min="3594" max="3840" width="9.140625" style="46"/>
    <col min="3841" max="3841" width="37.5703125" style="46" bestFit="1" customWidth="1"/>
    <col min="3842" max="3842" width="4" style="46" bestFit="1" customWidth="1"/>
    <col min="3843" max="3843" width="1" style="46" customWidth="1"/>
    <col min="3844" max="3844" width="7.28515625" style="46" customWidth="1"/>
    <col min="3845" max="3845" width="7.5703125" style="46" bestFit="1" customWidth="1"/>
    <col min="3846" max="3846" width="1.28515625" style="46" customWidth="1"/>
    <col min="3847" max="3847" width="7.28515625" style="46" customWidth="1"/>
    <col min="3848" max="3848" width="7.5703125" style="46" bestFit="1" customWidth="1"/>
    <col min="3849" max="3849" width="2.28515625" style="46" customWidth="1"/>
    <col min="3850" max="4096" width="9.140625" style="46"/>
    <col min="4097" max="4097" width="37.5703125" style="46" bestFit="1" customWidth="1"/>
    <col min="4098" max="4098" width="4" style="46" bestFit="1" customWidth="1"/>
    <col min="4099" max="4099" width="1" style="46" customWidth="1"/>
    <col min="4100" max="4100" width="7.28515625" style="46" customWidth="1"/>
    <col min="4101" max="4101" width="7.5703125" style="46" bestFit="1" customWidth="1"/>
    <col min="4102" max="4102" width="1.28515625" style="46" customWidth="1"/>
    <col min="4103" max="4103" width="7.28515625" style="46" customWidth="1"/>
    <col min="4104" max="4104" width="7.5703125" style="46" bestFit="1" customWidth="1"/>
    <col min="4105" max="4105" width="2.28515625" style="46" customWidth="1"/>
    <col min="4106" max="4352" width="9.140625" style="46"/>
    <col min="4353" max="4353" width="37.5703125" style="46" bestFit="1" customWidth="1"/>
    <col min="4354" max="4354" width="4" style="46" bestFit="1" customWidth="1"/>
    <col min="4355" max="4355" width="1" style="46" customWidth="1"/>
    <col min="4356" max="4356" width="7.28515625" style="46" customWidth="1"/>
    <col min="4357" max="4357" width="7.5703125" style="46" bestFit="1" customWidth="1"/>
    <col min="4358" max="4358" width="1.28515625" style="46" customWidth="1"/>
    <col min="4359" max="4359" width="7.28515625" style="46" customWidth="1"/>
    <col min="4360" max="4360" width="7.5703125" style="46" bestFit="1" customWidth="1"/>
    <col min="4361" max="4361" width="2.28515625" style="46" customWidth="1"/>
    <col min="4362" max="4608" width="9.140625" style="46"/>
    <col min="4609" max="4609" width="37.5703125" style="46" bestFit="1" customWidth="1"/>
    <col min="4610" max="4610" width="4" style="46" bestFit="1" customWidth="1"/>
    <col min="4611" max="4611" width="1" style="46" customWidth="1"/>
    <col min="4612" max="4612" width="7.28515625" style="46" customWidth="1"/>
    <col min="4613" max="4613" width="7.5703125" style="46" bestFit="1" customWidth="1"/>
    <col min="4614" max="4614" width="1.28515625" style="46" customWidth="1"/>
    <col min="4615" max="4615" width="7.28515625" style="46" customWidth="1"/>
    <col min="4616" max="4616" width="7.5703125" style="46" bestFit="1" customWidth="1"/>
    <col min="4617" max="4617" width="2.28515625" style="46" customWidth="1"/>
    <col min="4618" max="4864" width="9.140625" style="46"/>
    <col min="4865" max="4865" width="37.5703125" style="46" bestFit="1" customWidth="1"/>
    <col min="4866" max="4866" width="4" style="46" bestFit="1" customWidth="1"/>
    <col min="4867" max="4867" width="1" style="46" customWidth="1"/>
    <col min="4868" max="4868" width="7.28515625" style="46" customWidth="1"/>
    <col min="4869" max="4869" width="7.5703125" style="46" bestFit="1" customWidth="1"/>
    <col min="4870" max="4870" width="1.28515625" style="46" customWidth="1"/>
    <col min="4871" max="4871" width="7.28515625" style="46" customWidth="1"/>
    <col min="4872" max="4872" width="7.5703125" style="46" bestFit="1" customWidth="1"/>
    <col min="4873" max="4873" width="2.28515625" style="46" customWidth="1"/>
    <col min="4874" max="5120" width="9.140625" style="46"/>
    <col min="5121" max="5121" width="37.5703125" style="46" bestFit="1" customWidth="1"/>
    <col min="5122" max="5122" width="4" style="46" bestFit="1" customWidth="1"/>
    <col min="5123" max="5123" width="1" style="46" customWidth="1"/>
    <col min="5124" max="5124" width="7.28515625" style="46" customWidth="1"/>
    <col min="5125" max="5125" width="7.5703125" style="46" bestFit="1" customWidth="1"/>
    <col min="5126" max="5126" width="1.28515625" style="46" customWidth="1"/>
    <col min="5127" max="5127" width="7.28515625" style="46" customWidth="1"/>
    <col min="5128" max="5128" width="7.5703125" style="46" bestFit="1" customWidth="1"/>
    <col min="5129" max="5129" width="2.28515625" style="46" customWidth="1"/>
    <col min="5130" max="5376" width="9.140625" style="46"/>
    <col min="5377" max="5377" width="37.5703125" style="46" bestFit="1" customWidth="1"/>
    <col min="5378" max="5378" width="4" style="46" bestFit="1" customWidth="1"/>
    <col min="5379" max="5379" width="1" style="46" customWidth="1"/>
    <col min="5380" max="5380" width="7.28515625" style="46" customWidth="1"/>
    <col min="5381" max="5381" width="7.5703125" style="46" bestFit="1" customWidth="1"/>
    <col min="5382" max="5382" width="1.28515625" style="46" customWidth="1"/>
    <col min="5383" max="5383" width="7.28515625" style="46" customWidth="1"/>
    <col min="5384" max="5384" width="7.5703125" style="46" bestFit="1" customWidth="1"/>
    <col min="5385" max="5385" width="2.28515625" style="46" customWidth="1"/>
    <col min="5386" max="5632" width="9.140625" style="46"/>
    <col min="5633" max="5633" width="37.5703125" style="46" bestFit="1" customWidth="1"/>
    <col min="5634" max="5634" width="4" style="46" bestFit="1" customWidth="1"/>
    <col min="5635" max="5635" width="1" style="46" customWidth="1"/>
    <col min="5636" max="5636" width="7.28515625" style="46" customWidth="1"/>
    <col min="5637" max="5637" width="7.5703125" style="46" bestFit="1" customWidth="1"/>
    <col min="5638" max="5638" width="1.28515625" style="46" customWidth="1"/>
    <col min="5639" max="5639" width="7.28515625" style="46" customWidth="1"/>
    <col min="5640" max="5640" width="7.5703125" style="46" bestFit="1" customWidth="1"/>
    <col min="5641" max="5641" width="2.28515625" style="46" customWidth="1"/>
    <col min="5642" max="5888" width="9.140625" style="46"/>
    <col min="5889" max="5889" width="37.5703125" style="46" bestFit="1" customWidth="1"/>
    <col min="5890" max="5890" width="4" style="46" bestFit="1" customWidth="1"/>
    <col min="5891" max="5891" width="1" style="46" customWidth="1"/>
    <col min="5892" max="5892" width="7.28515625" style="46" customWidth="1"/>
    <col min="5893" max="5893" width="7.5703125" style="46" bestFit="1" customWidth="1"/>
    <col min="5894" max="5894" width="1.28515625" style="46" customWidth="1"/>
    <col min="5895" max="5895" width="7.28515625" style="46" customWidth="1"/>
    <col min="5896" max="5896" width="7.5703125" style="46" bestFit="1" customWidth="1"/>
    <col min="5897" max="5897" width="2.28515625" style="46" customWidth="1"/>
    <col min="5898" max="6144" width="9.140625" style="46"/>
    <col min="6145" max="6145" width="37.5703125" style="46" bestFit="1" customWidth="1"/>
    <col min="6146" max="6146" width="4" style="46" bestFit="1" customWidth="1"/>
    <col min="6147" max="6147" width="1" style="46" customWidth="1"/>
    <col min="6148" max="6148" width="7.28515625" style="46" customWidth="1"/>
    <col min="6149" max="6149" width="7.5703125" style="46" bestFit="1" customWidth="1"/>
    <col min="6150" max="6150" width="1.28515625" style="46" customWidth="1"/>
    <col min="6151" max="6151" width="7.28515625" style="46" customWidth="1"/>
    <col min="6152" max="6152" width="7.5703125" style="46" bestFit="1" customWidth="1"/>
    <col min="6153" max="6153" width="2.28515625" style="46" customWidth="1"/>
    <col min="6154" max="6400" width="9.140625" style="46"/>
    <col min="6401" max="6401" width="37.5703125" style="46" bestFit="1" customWidth="1"/>
    <col min="6402" max="6402" width="4" style="46" bestFit="1" customWidth="1"/>
    <col min="6403" max="6403" width="1" style="46" customWidth="1"/>
    <col min="6404" max="6404" width="7.28515625" style="46" customWidth="1"/>
    <col min="6405" max="6405" width="7.5703125" style="46" bestFit="1" customWidth="1"/>
    <col min="6406" max="6406" width="1.28515625" style="46" customWidth="1"/>
    <col min="6407" max="6407" width="7.28515625" style="46" customWidth="1"/>
    <col min="6408" max="6408" width="7.5703125" style="46" bestFit="1" customWidth="1"/>
    <col min="6409" max="6409" width="2.28515625" style="46" customWidth="1"/>
    <col min="6410" max="6656" width="9.140625" style="46"/>
    <col min="6657" max="6657" width="37.5703125" style="46" bestFit="1" customWidth="1"/>
    <col min="6658" max="6658" width="4" style="46" bestFit="1" customWidth="1"/>
    <col min="6659" max="6659" width="1" style="46" customWidth="1"/>
    <col min="6660" max="6660" width="7.28515625" style="46" customWidth="1"/>
    <col min="6661" max="6661" width="7.5703125" style="46" bestFit="1" customWidth="1"/>
    <col min="6662" max="6662" width="1.28515625" style="46" customWidth="1"/>
    <col min="6663" max="6663" width="7.28515625" style="46" customWidth="1"/>
    <col min="6664" max="6664" width="7.5703125" style="46" bestFit="1" customWidth="1"/>
    <col min="6665" max="6665" width="2.28515625" style="46" customWidth="1"/>
    <col min="6666" max="6912" width="9.140625" style="46"/>
    <col min="6913" max="6913" width="37.5703125" style="46" bestFit="1" customWidth="1"/>
    <col min="6914" max="6914" width="4" style="46" bestFit="1" customWidth="1"/>
    <col min="6915" max="6915" width="1" style="46" customWidth="1"/>
    <col min="6916" max="6916" width="7.28515625" style="46" customWidth="1"/>
    <col min="6917" max="6917" width="7.5703125" style="46" bestFit="1" customWidth="1"/>
    <col min="6918" max="6918" width="1.28515625" style="46" customWidth="1"/>
    <col min="6919" max="6919" width="7.28515625" style="46" customWidth="1"/>
    <col min="6920" max="6920" width="7.5703125" style="46" bestFit="1" customWidth="1"/>
    <col min="6921" max="6921" width="2.28515625" style="46" customWidth="1"/>
    <col min="6922" max="7168" width="9.140625" style="46"/>
    <col min="7169" max="7169" width="37.5703125" style="46" bestFit="1" customWidth="1"/>
    <col min="7170" max="7170" width="4" style="46" bestFit="1" customWidth="1"/>
    <col min="7171" max="7171" width="1" style="46" customWidth="1"/>
    <col min="7172" max="7172" width="7.28515625" style="46" customWidth="1"/>
    <col min="7173" max="7173" width="7.5703125" style="46" bestFit="1" customWidth="1"/>
    <col min="7174" max="7174" width="1.28515625" style="46" customWidth="1"/>
    <col min="7175" max="7175" width="7.28515625" style="46" customWidth="1"/>
    <col min="7176" max="7176" width="7.5703125" style="46" bestFit="1" customWidth="1"/>
    <col min="7177" max="7177" width="2.28515625" style="46" customWidth="1"/>
    <col min="7178" max="7424" width="9.140625" style="46"/>
    <col min="7425" max="7425" width="37.5703125" style="46" bestFit="1" customWidth="1"/>
    <col min="7426" max="7426" width="4" style="46" bestFit="1" customWidth="1"/>
    <col min="7427" max="7427" width="1" style="46" customWidth="1"/>
    <col min="7428" max="7428" width="7.28515625" style="46" customWidth="1"/>
    <col min="7429" max="7429" width="7.5703125" style="46" bestFit="1" customWidth="1"/>
    <col min="7430" max="7430" width="1.28515625" style="46" customWidth="1"/>
    <col min="7431" max="7431" width="7.28515625" style="46" customWidth="1"/>
    <col min="7432" max="7432" width="7.5703125" style="46" bestFit="1" customWidth="1"/>
    <col min="7433" max="7433" width="2.28515625" style="46" customWidth="1"/>
    <col min="7434" max="7680" width="9.140625" style="46"/>
    <col min="7681" max="7681" width="37.5703125" style="46" bestFit="1" customWidth="1"/>
    <col min="7682" max="7682" width="4" style="46" bestFit="1" customWidth="1"/>
    <col min="7683" max="7683" width="1" style="46" customWidth="1"/>
    <col min="7684" max="7684" width="7.28515625" style="46" customWidth="1"/>
    <col min="7685" max="7685" width="7.5703125" style="46" bestFit="1" customWidth="1"/>
    <col min="7686" max="7686" width="1.28515625" style="46" customWidth="1"/>
    <col min="7687" max="7687" width="7.28515625" style="46" customWidth="1"/>
    <col min="7688" max="7688" width="7.5703125" style="46" bestFit="1" customWidth="1"/>
    <col min="7689" max="7689" width="2.28515625" style="46" customWidth="1"/>
    <col min="7690" max="7936" width="9.140625" style="46"/>
    <col min="7937" max="7937" width="37.5703125" style="46" bestFit="1" customWidth="1"/>
    <col min="7938" max="7938" width="4" style="46" bestFit="1" customWidth="1"/>
    <col min="7939" max="7939" width="1" style="46" customWidth="1"/>
    <col min="7940" max="7940" width="7.28515625" style="46" customWidth="1"/>
    <col min="7941" max="7941" width="7.5703125" style="46" bestFit="1" customWidth="1"/>
    <col min="7942" max="7942" width="1.28515625" style="46" customWidth="1"/>
    <col min="7943" max="7943" width="7.28515625" style="46" customWidth="1"/>
    <col min="7944" max="7944" width="7.5703125" style="46" bestFit="1" customWidth="1"/>
    <col min="7945" max="7945" width="2.28515625" style="46" customWidth="1"/>
    <col min="7946" max="8192" width="9.140625" style="46"/>
    <col min="8193" max="8193" width="37.5703125" style="46" bestFit="1" customWidth="1"/>
    <col min="8194" max="8194" width="4" style="46" bestFit="1" customWidth="1"/>
    <col min="8195" max="8195" width="1" style="46" customWidth="1"/>
    <col min="8196" max="8196" width="7.28515625" style="46" customWidth="1"/>
    <col min="8197" max="8197" width="7.5703125" style="46" bestFit="1" customWidth="1"/>
    <col min="8198" max="8198" width="1.28515625" style="46" customWidth="1"/>
    <col min="8199" max="8199" width="7.28515625" style="46" customWidth="1"/>
    <col min="8200" max="8200" width="7.5703125" style="46" bestFit="1" customWidth="1"/>
    <col min="8201" max="8201" width="2.28515625" style="46" customWidth="1"/>
    <col min="8202" max="8448" width="9.140625" style="46"/>
    <col min="8449" max="8449" width="37.5703125" style="46" bestFit="1" customWidth="1"/>
    <col min="8450" max="8450" width="4" style="46" bestFit="1" customWidth="1"/>
    <col min="8451" max="8451" width="1" style="46" customWidth="1"/>
    <col min="8452" max="8452" width="7.28515625" style="46" customWidth="1"/>
    <col min="8453" max="8453" width="7.5703125" style="46" bestFit="1" customWidth="1"/>
    <col min="8454" max="8454" width="1.28515625" style="46" customWidth="1"/>
    <col min="8455" max="8455" width="7.28515625" style="46" customWidth="1"/>
    <col min="8456" max="8456" width="7.5703125" style="46" bestFit="1" customWidth="1"/>
    <col min="8457" max="8457" width="2.28515625" style="46" customWidth="1"/>
    <col min="8458" max="8704" width="9.140625" style="46"/>
    <col min="8705" max="8705" width="37.5703125" style="46" bestFit="1" customWidth="1"/>
    <col min="8706" max="8706" width="4" style="46" bestFit="1" customWidth="1"/>
    <col min="8707" max="8707" width="1" style="46" customWidth="1"/>
    <col min="8708" max="8708" width="7.28515625" style="46" customWidth="1"/>
    <col min="8709" max="8709" width="7.5703125" style="46" bestFit="1" customWidth="1"/>
    <col min="8710" max="8710" width="1.28515625" style="46" customWidth="1"/>
    <col min="8711" max="8711" width="7.28515625" style="46" customWidth="1"/>
    <col min="8712" max="8712" width="7.5703125" style="46" bestFit="1" customWidth="1"/>
    <col min="8713" max="8713" width="2.28515625" style="46" customWidth="1"/>
    <col min="8714" max="8960" width="9.140625" style="46"/>
    <col min="8961" max="8961" width="37.5703125" style="46" bestFit="1" customWidth="1"/>
    <col min="8962" max="8962" width="4" style="46" bestFit="1" customWidth="1"/>
    <col min="8963" max="8963" width="1" style="46" customWidth="1"/>
    <col min="8964" max="8964" width="7.28515625" style="46" customWidth="1"/>
    <col min="8965" max="8965" width="7.5703125" style="46" bestFit="1" customWidth="1"/>
    <col min="8966" max="8966" width="1.28515625" style="46" customWidth="1"/>
    <col min="8967" max="8967" width="7.28515625" style="46" customWidth="1"/>
    <col min="8968" max="8968" width="7.5703125" style="46" bestFit="1" customWidth="1"/>
    <col min="8969" max="8969" width="2.28515625" style="46" customWidth="1"/>
    <col min="8970" max="9216" width="9.140625" style="46"/>
    <col min="9217" max="9217" width="37.5703125" style="46" bestFit="1" customWidth="1"/>
    <col min="9218" max="9218" width="4" style="46" bestFit="1" customWidth="1"/>
    <col min="9219" max="9219" width="1" style="46" customWidth="1"/>
    <col min="9220" max="9220" width="7.28515625" style="46" customWidth="1"/>
    <col min="9221" max="9221" width="7.5703125" style="46" bestFit="1" customWidth="1"/>
    <col min="9222" max="9222" width="1.28515625" style="46" customWidth="1"/>
    <col min="9223" max="9223" width="7.28515625" style="46" customWidth="1"/>
    <col min="9224" max="9224" width="7.5703125" style="46" bestFit="1" customWidth="1"/>
    <col min="9225" max="9225" width="2.28515625" style="46" customWidth="1"/>
    <col min="9226" max="9472" width="9.140625" style="46"/>
    <col min="9473" max="9473" width="37.5703125" style="46" bestFit="1" customWidth="1"/>
    <col min="9474" max="9474" width="4" style="46" bestFit="1" customWidth="1"/>
    <col min="9475" max="9475" width="1" style="46" customWidth="1"/>
    <col min="9476" max="9476" width="7.28515625" style="46" customWidth="1"/>
    <col min="9477" max="9477" width="7.5703125" style="46" bestFit="1" customWidth="1"/>
    <col min="9478" max="9478" width="1.28515625" style="46" customWidth="1"/>
    <col min="9479" max="9479" width="7.28515625" style="46" customWidth="1"/>
    <col min="9480" max="9480" width="7.5703125" style="46" bestFit="1" customWidth="1"/>
    <col min="9481" max="9481" width="2.28515625" style="46" customWidth="1"/>
    <col min="9482" max="9728" width="9.140625" style="46"/>
    <col min="9729" max="9729" width="37.5703125" style="46" bestFit="1" customWidth="1"/>
    <col min="9730" max="9730" width="4" style="46" bestFit="1" customWidth="1"/>
    <col min="9731" max="9731" width="1" style="46" customWidth="1"/>
    <col min="9732" max="9732" width="7.28515625" style="46" customWidth="1"/>
    <col min="9733" max="9733" width="7.5703125" style="46" bestFit="1" customWidth="1"/>
    <col min="9734" max="9734" width="1.28515625" style="46" customWidth="1"/>
    <col min="9735" max="9735" width="7.28515625" style="46" customWidth="1"/>
    <col min="9736" max="9736" width="7.5703125" style="46" bestFit="1" customWidth="1"/>
    <col min="9737" max="9737" width="2.28515625" style="46" customWidth="1"/>
    <col min="9738" max="9984" width="9.140625" style="46"/>
    <col min="9985" max="9985" width="37.5703125" style="46" bestFit="1" customWidth="1"/>
    <col min="9986" max="9986" width="4" style="46" bestFit="1" customWidth="1"/>
    <col min="9987" max="9987" width="1" style="46" customWidth="1"/>
    <col min="9988" max="9988" width="7.28515625" style="46" customWidth="1"/>
    <col min="9989" max="9989" width="7.5703125" style="46" bestFit="1" customWidth="1"/>
    <col min="9990" max="9990" width="1.28515625" style="46" customWidth="1"/>
    <col min="9991" max="9991" width="7.28515625" style="46" customWidth="1"/>
    <col min="9992" max="9992" width="7.5703125" style="46" bestFit="1" customWidth="1"/>
    <col min="9993" max="9993" width="2.28515625" style="46" customWidth="1"/>
    <col min="9994" max="10240" width="9.140625" style="46"/>
    <col min="10241" max="10241" width="37.5703125" style="46" bestFit="1" customWidth="1"/>
    <col min="10242" max="10242" width="4" style="46" bestFit="1" customWidth="1"/>
    <col min="10243" max="10243" width="1" style="46" customWidth="1"/>
    <col min="10244" max="10244" width="7.28515625" style="46" customWidth="1"/>
    <col min="10245" max="10245" width="7.5703125" style="46" bestFit="1" customWidth="1"/>
    <col min="10246" max="10246" width="1.28515625" style="46" customWidth="1"/>
    <col min="10247" max="10247" width="7.28515625" style="46" customWidth="1"/>
    <col min="10248" max="10248" width="7.5703125" style="46" bestFit="1" customWidth="1"/>
    <col min="10249" max="10249" width="2.28515625" style="46" customWidth="1"/>
    <col min="10250" max="10496" width="9.140625" style="46"/>
    <col min="10497" max="10497" width="37.5703125" style="46" bestFit="1" customWidth="1"/>
    <col min="10498" max="10498" width="4" style="46" bestFit="1" customWidth="1"/>
    <col min="10499" max="10499" width="1" style="46" customWidth="1"/>
    <col min="10500" max="10500" width="7.28515625" style="46" customWidth="1"/>
    <col min="10501" max="10501" width="7.5703125" style="46" bestFit="1" customWidth="1"/>
    <col min="10502" max="10502" width="1.28515625" style="46" customWidth="1"/>
    <col min="10503" max="10503" width="7.28515625" style="46" customWidth="1"/>
    <col min="10504" max="10504" width="7.5703125" style="46" bestFit="1" customWidth="1"/>
    <col min="10505" max="10505" width="2.28515625" style="46" customWidth="1"/>
    <col min="10506" max="10752" width="9.140625" style="46"/>
    <col min="10753" max="10753" width="37.5703125" style="46" bestFit="1" customWidth="1"/>
    <col min="10754" max="10754" width="4" style="46" bestFit="1" customWidth="1"/>
    <col min="10755" max="10755" width="1" style="46" customWidth="1"/>
    <col min="10756" max="10756" width="7.28515625" style="46" customWidth="1"/>
    <col min="10757" max="10757" width="7.5703125" style="46" bestFit="1" customWidth="1"/>
    <col min="10758" max="10758" width="1.28515625" style="46" customWidth="1"/>
    <col min="10759" max="10759" width="7.28515625" style="46" customWidth="1"/>
    <col min="10760" max="10760" width="7.5703125" style="46" bestFit="1" customWidth="1"/>
    <col min="10761" max="10761" width="2.28515625" style="46" customWidth="1"/>
    <col min="10762" max="11008" width="9.140625" style="46"/>
    <col min="11009" max="11009" width="37.5703125" style="46" bestFit="1" customWidth="1"/>
    <col min="11010" max="11010" width="4" style="46" bestFit="1" customWidth="1"/>
    <col min="11011" max="11011" width="1" style="46" customWidth="1"/>
    <col min="11012" max="11012" width="7.28515625" style="46" customWidth="1"/>
    <col min="11013" max="11013" width="7.5703125" style="46" bestFit="1" customWidth="1"/>
    <col min="11014" max="11014" width="1.28515625" style="46" customWidth="1"/>
    <col min="11015" max="11015" width="7.28515625" style="46" customWidth="1"/>
    <col min="11016" max="11016" width="7.5703125" style="46" bestFit="1" customWidth="1"/>
    <col min="11017" max="11017" width="2.28515625" style="46" customWidth="1"/>
    <col min="11018" max="11264" width="9.140625" style="46"/>
    <col min="11265" max="11265" width="37.5703125" style="46" bestFit="1" customWidth="1"/>
    <col min="11266" max="11266" width="4" style="46" bestFit="1" customWidth="1"/>
    <col min="11267" max="11267" width="1" style="46" customWidth="1"/>
    <col min="11268" max="11268" width="7.28515625" style="46" customWidth="1"/>
    <col min="11269" max="11269" width="7.5703125" style="46" bestFit="1" customWidth="1"/>
    <col min="11270" max="11270" width="1.28515625" style="46" customWidth="1"/>
    <col min="11271" max="11271" width="7.28515625" style="46" customWidth="1"/>
    <col min="11272" max="11272" width="7.5703125" style="46" bestFit="1" customWidth="1"/>
    <col min="11273" max="11273" width="2.28515625" style="46" customWidth="1"/>
    <col min="11274" max="11520" width="9.140625" style="46"/>
    <col min="11521" max="11521" width="37.5703125" style="46" bestFit="1" customWidth="1"/>
    <col min="11522" max="11522" width="4" style="46" bestFit="1" customWidth="1"/>
    <col min="11523" max="11523" width="1" style="46" customWidth="1"/>
    <col min="11524" max="11524" width="7.28515625" style="46" customWidth="1"/>
    <col min="11525" max="11525" width="7.5703125" style="46" bestFit="1" customWidth="1"/>
    <col min="11526" max="11526" width="1.28515625" style="46" customWidth="1"/>
    <col min="11527" max="11527" width="7.28515625" style="46" customWidth="1"/>
    <col min="11528" max="11528" width="7.5703125" style="46" bestFit="1" customWidth="1"/>
    <col min="11529" max="11529" width="2.28515625" style="46" customWidth="1"/>
    <col min="11530" max="11776" width="9.140625" style="46"/>
    <col min="11777" max="11777" width="37.5703125" style="46" bestFit="1" customWidth="1"/>
    <col min="11778" max="11778" width="4" style="46" bestFit="1" customWidth="1"/>
    <col min="11779" max="11779" width="1" style="46" customWidth="1"/>
    <col min="11780" max="11780" width="7.28515625" style="46" customWidth="1"/>
    <col min="11781" max="11781" width="7.5703125" style="46" bestFit="1" customWidth="1"/>
    <col min="11782" max="11782" width="1.28515625" style="46" customWidth="1"/>
    <col min="11783" max="11783" width="7.28515625" style="46" customWidth="1"/>
    <col min="11784" max="11784" width="7.5703125" style="46" bestFit="1" customWidth="1"/>
    <col min="11785" max="11785" width="2.28515625" style="46" customWidth="1"/>
    <col min="11786" max="12032" width="9.140625" style="46"/>
    <col min="12033" max="12033" width="37.5703125" style="46" bestFit="1" customWidth="1"/>
    <col min="12034" max="12034" width="4" style="46" bestFit="1" customWidth="1"/>
    <col min="12035" max="12035" width="1" style="46" customWidth="1"/>
    <col min="12036" max="12036" width="7.28515625" style="46" customWidth="1"/>
    <col min="12037" max="12037" width="7.5703125" style="46" bestFit="1" customWidth="1"/>
    <col min="12038" max="12038" width="1.28515625" style="46" customWidth="1"/>
    <col min="12039" max="12039" width="7.28515625" style="46" customWidth="1"/>
    <col min="12040" max="12040" width="7.5703125" style="46" bestFit="1" customWidth="1"/>
    <col min="12041" max="12041" width="2.28515625" style="46" customWidth="1"/>
    <col min="12042" max="12288" width="9.140625" style="46"/>
    <col min="12289" max="12289" width="37.5703125" style="46" bestFit="1" customWidth="1"/>
    <col min="12290" max="12290" width="4" style="46" bestFit="1" customWidth="1"/>
    <col min="12291" max="12291" width="1" style="46" customWidth="1"/>
    <col min="12292" max="12292" width="7.28515625" style="46" customWidth="1"/>
    <col min="12293" max="12293" width="7.5703125" style="46" bestFit="1" customWidth="1"/>
    <col min="12294" max="12294" width="1.28515625" style="46" customWidth="1"/>
    <col min="12295" max="12295" width="7.28515625" style="46" customWidth="1"/>
    <col min="12296" max="12296" width="7.5703125" style="46" bestFit="1" customWidth="1"/>
    <col min="12297" max="12297" width="2.28515625" style="46" customWidth="1"/>
    <col min="12298" max="12544" width="9.140625" style="46"/>
    <col min="12545" max="12545" width="37.5703125" style="46" bestFit="1" customWidth="1"/>
    <col min="12546" max="12546" width="4" style="46" bestFit="1" customWidth="1"/>
    <col min="12547" max="12547" width="1" style="46" customWidth="1"/>
    <col min="12548" max="12548" width="7.28515625" style="46" customWidth="1"/>
    <col min="12549" max="12549" width="7.5703125" style="46" bestFit="1" customWidth="1"/>
    <col min="12550" max="12550" width="1.28515625" style="46" customWidth="1"/>
    <col min="12551" max="12551" width="7.28515625" style="46" customWidth="1"/>
    <col min="12552" max="12552" width="7.5703125" style="46" bestFit="1" customWidth="1"/>
    <col min="12553" max="12553" width="2.28515625" style="46" customWidth="1"/>
    <col min="12554" max="12800" width="9.140625" style="46"/>
    <col min="12801" max="12801" width="37.5703125" style="46" bestFit="1" customWidth="1"/>
    <col min="12802" max="12802" width="4" style="46" bestFit="1" customWidth="1"/>
    <col min="12803" max="12803" width="1" style="46" customWidth="1"/>
    <col min="12804" max="12804" width="7.28515625" style="46" customWidth="1"/>
    <col min="12805" max="12805" width="7.5703125" style="46" bestFit="1" customWidth="1"/>
    <col min="12806" max="12806" width="1.28515625" style="46" customWidth="1"/>
    <col min="12807" max="12807" width="7.28515625" style="46" customWidth="1"/>
    <col min="12808" max="12808" width="7.5703125" style="46" bestFit="1" customWidth="1"/>
    <col min="12809" max="12809" width="2.28515625" style="46" customWidth="1"/>
    <col min="12810" max="13056" width="9.140625" style="46"/>
    <col min="13057" max="13057" width="37.5703125" style="46" bestFit="1" customWidth="1"/>
    <col min="13058" max="13058" width="4" style="46" bestFit="1" customWidth="1"/>
    <col min="13059" max="13059" width="1" style="46" customWidth="1"/>
    <col min="13060" max="13060" width="7.28515625" style="46" customWidth="1"/>
    <col min="13061" max="13061" width="7.5703125" style="46" bestFit="1" customWidth="1"/>
    <col min="13062" max="13062" width="1.28515625" style="46" customWidth="1"/>
    <col min="13063" max="13063" width="7.28515625" style="46" customWidth="1"/>
    <col min="13064" max="13064" width="7.5703125" style="46" bestFit="1" customWidth="1"/>
    <col min="13065" max="13065" width="2.28515625" style="46" customWidth="1"/>
    <col min="13066" max="13312" width="9.140625" style="46"/>
    <col min="13313" max="13313" width="37.5703125" style="46" bestFit="1" customWidth="1"/>
    <col min="13314" max="13314" width="4" style="46" bestFit="1" customWidth="1"/>
    <col min="13315" max="13315" width="1" style="46" customWidth="1"/>
    <col min="13316" max="13316" width="7.28515625" style="46" customWidth="1"/>
    <col min="13317" max="13317" width="7.5703125" style="46" bestFit="1" customWidth="1"/>
    <col min="13318" max="13318" width="1.28515625" style="46" customWidth="1"/>
    <col min="13319" max="13319" width="7.28515625" style="46" customWidth="1"/>
    <col min="13320" max="13320" width="7.5703125" style="46" bestFit="1" customWidth="1"/>
    <col min="13321" max="13321" width="2.28515625" style="46" customWidth="1"/>
    <col min="13322" max="13568" width="9.140625" style="46"/>
    <col min="13569" max="13569" width="37.5703125" style="46" bestFit="1" customWidth="1"/>
    <col min="13570" max="13570" width="4" style="46" bestFit="1" customWidth="1"/>
    <col min="13571" max="13571" width="1" style="46" customWidth="1"/>
    <col min="13572" max="13572" width="7.28515625" style="46" customWidth="1"/>
    <col min="13573" max="13573" width="7.5703125" style="46" bestFit="1" customWidth="1"/>
    <col min="13574" max="13574" width="1.28515625" style="46" customWidth="1"/>
    <col min="13575" max="13575" width="7.28515625" style="46" customWidth="1"/>
    <col min="13576" max="13576" width="7.5703125" style="46" bestFit="1" customWidth="1"/>
    <col min="13577" max="13577" width="2.28515625" style="46" customWidth="1"/>
    <col min="13578" max="13824" width="9.140625" style="46"/>
    <col min="13825" max="13825" width="37.5703125" style="46" bestFit="1" customWidth="1"/>
    <col min="13826" max="13826" width="4" style="46" bestFit="1" customWidth="1"/>
    <col min="13827" max="13827" width="1" style="46" customWidth="1"/>
    <col min="13828" max="13828" width="7.28515625" style="46" customWidth="1"/>
    <col min="13829" max="13829" width="7.5703125" style="46" bestFit="1" customWidth="1"/>
    <col min="13830" max="13830" width="1.28515625" style="46" customWidth="1"/>
    <col min="13831" max="13831" width="7.28515625" style="46" customWidth="1"/>
    <col min="13832" max="13832" width="7.5703125" style="46" bestFit="1" customWidth="1"/>
    <col min="13833" max="13833" width="2.28515625" style="46" customWidth="1"/>
    <col min="13834" max="14080" width="9.140625" style="46"/>
    <col min="14081" max="14081" width="37.5703125" style="46" bestFit="1" customWidth="1"/>
    <col min="14082" max="14082" width="4" style="46" bestFit="1" customWidth="1"/>
    <col min="14083" max="14083" width="1" style="46" customWidth="1"/>
    <col min="14084" max="14084" width="7.28515625" style="46" customWidth="1"/>
    <col min="14085" max="14085" width="7.5703125" style="46" bestFit="1" customWidth="1"/>
    <col min="14086" max="14086" width="1.28515625" style="46" customWidth="1"/>
    <col min="14087" max="14087" width="7.28515625" style="46" customWidth="1"/>
    <col min="14088" max="14088" width="7.5703125" style="46" bestFit="1" customWidth="1"/>
    <col min="14089" max="14089" width="2.28515625" style="46" customWidth="1"/>
    <col min="14090" max="14336" width="9.140625" style="46"/>
    <col min="14337" max="14337" width="37.5703125" style="46" bestFit="1" customWidth="1"/>
    <col min="14338" max="14338" width="4" style="46" bestFit="1" customWidth="1"/>
    <col min="14339" max="14339" width="1" style="46" customWidth="1"/>
    <col min="14340" max="14340" width="7.28515625" style="46" customWidth="1"/>
    <col min="14341" max="14341" width="7.5703125" style="46" bestFit="1" customWidth="1"/>
    <col min="14342" max="14342" width="1.28515625" style="46" customWidth="1"/>
    <col min="14343" max="14343" width="7.28515625" style="46" customWidth="1"/>
    <col min="14344" max="14344" width="7.5703125" style="46" bestFit="1" customWidth="1"/>
    <col min="14345" max="14345" width="2.28515625" style="46" customWidth="1"/>
    <col min="14346" max="14592" width="9.140625" style="46"/>
    <col min="14593" max="14593" width="37.5703125" style="46" bestFit="1" customWidth="1"/>
    <col min="14594" max="14594" width="4" style="46" bestFit="1" customWidth="1"/>
    <col min="14595" max="14595" width="1" style="46" customWidth="1"/>
    <col min="14596" max="14596" width="7.28515625" style="46" customWidth="1"/>
    <col min="14597" max="14597" width="7.5703125" style="46" bestFit="1" customWidth="1"/>
    <col min="14598" max="14598" width="1.28515625" style="46" customWidth="1"/>
    <col min="14599" max="14599" width="7.28515625" style="46" customWidth="1"/>
    <col min="14600" max="14600" width="7.5703125" style="46" bestFit="1" customWidth="1"/>
    <col min="14601" max="14601" width="2.28515625" style="46" customWidth="1"/>
    <col min="14602" max="14848" width="9.140625" style="46"/>
    <col min="14849" max="14849" width="37.5703125" style="46" bestFit="1" customWidth="1"/>
    <col min="14850" max="14850" width="4" style="46" bestFit="1" customWidth="1"/>
    <col min="14851" max="14851" width="1" style="46" customWidth="1"/>
    <col min="14852" max="14852" width="7.28515625" style="46" customWidth="1"/>
    <col min="14853" max="14853" width="7.5703125" style="46" bestFit="1" customWidth="1"/>
    <col min="14854" max="14854" width="1.28515625" style="46" customWidth="1"/>
    <col min="14855" max="14855" width="7.28515625" style="46" customWidth="1"/>
    <col min="14856" max="14856" width="7.5703125" style="46" bestFit="1" customWidth="1"/>
    <col min="14857" max="14857" width="2.28515625" style="46" customWidth="1"/>
    <col min="14858" max="15104" width="9.140625" style="46"/>
    <col min="15105" max="15105" width="37.5703125" style="46" bestFit="1" customWidth="1"/>
    <col min="15106" max="15106" width="4" style="46" bestFit="1" customWidth="1"/>
    <col min="15107" max="15107" width="1" style="46" customWidth="1"/>
    <col min="15108" max="15108" width="7.28515625" style="46" customWidth="1"/>
    <col min="15109" max="15109" width="7.5703125" style="46" bestFit="1" customWidth="1"/>
    <col min="15110" max="15110" width="1.28515625" style="46" customWidth="1"/>
    <col min="15111" max="15111" width="7.28515625" style="46" customWidth="1"/>
    <col min="15112" max="15112" width="7.5703125" style="46" bestFit="1" customWidth="1"/>
    <col min="15113" max="15113" width="2.28515625" style="46" customWidth="1"/>
    <col min="15114" max="15360" width="9.140625" style="46"/>
    <col min="15361" max="15361" width="37.5703125" style="46" bestFit="1" customWidth="1"/>
    <col min="15362" max="15362" width="4" style="46" bestFit="1" customWidth="1"/>
    <col min="15363" max="15363" width="1" style="46" customWidth="1"/>
    <col min="15364" max="15364" width="7.28515625" style="46" customWidth="1"/>
    <col min="15365" max="15365" width="7.5703125" style="46" bestFit="1" customWidth="1"/>
    <col min="15366" max="15366" width="1.28515625" style="46" customWidth="1"/>
    <col min="15367" max="15367" width="7.28515625" style="46" customWidth="1"/>
    <col min="15368" max="15368" width="7.5703125" style="46" bestFit="1" customWidth="1"/>
    <col min="15369" max="15369" width="2.28515625" style="46" customWidth="1"/>
    <col min="15370" max="15616" width="9.140625" style="46"/>
    <col min="15617" max="15617" width="37.5703125" style="46" bestFit="1" customWidth="1"/>
    <col min="15618" max="15618" width="4" style="46" bestFit="1" customWidth="1"/>
    <col min="15619" max="15619" width="1" style="46" customWidth="1"/>
    <col min="15620" max="15620" width="7.28515625" style="46" customWidth="1"/>
    <col min="15621" max="15621" width="7.5703125" style="46" bestFit="1" customWidth="1"/>
    <col min="15622" max="15622" width="1.28515625" style="46" customWidth="1"/>
    <col min="15623" max="15623" width="7.28515625" style="46" customWidth="1"/>
    <col min="15624" max="15624" width="7.5703125" style="46" bestFit="1" customWidth="1"/>
    <col min="15625" max="15625" width="2.28515625" style="46" customWidth="1"/>
    <col min="15626" max="15872" width="9.140625" style="46"/>
    <col min="15873" max="15873" width="37.5703125" style="46" bestFit="1" customWidth="1"/>
    <col min="15874" max="15874" width="4" style="46" bestFit="1" customWidth="1"/>
    <col min="15875" max="15875" width="1" style="46" customWidth="1"/>
    <col min="15876" max="15876" width="7.28515625" style="46" customWidth="1"/>
    <col min="15877" max="15877" width="7.5703125" style="46" bestFit="1" customWidth="1"/>
    <col min="15878" max="15878" width="1.28515625" style="46" customWidth="1"/>
    <col min="15879" max="15879" width="7.28515625" style="46" customWidth="1"/>
    <col min="15880" max="15880" width="7.5703125" style="46" bestFit="1" customWidth="1"/>
    <col min="15881" max="15881" width="2.28515625" style="46" customWidth="1"/>
    <col min="15882" max="16128" width="9.140625" style="46"/>
    <col min="16129" max="16129" width="37.5703125" style="46" bestFit="1" customWidth="1"/>
    <col min="16130" max="16130" width="4" style="46" bestFit="1" customWidth="1"/>
    <col min="16131" max="16131" width="1" style="46" customWidth="1"/>
    <col min="16132" max="16132" width="7.28515625" style="46" customWidth="1"/>
    <col min="16133" max="16133" width="7.5703125" style="46" bestFit="1" customWidth="1"/>
    <col min="16134" max="16134" width="1.28515625" style="46" customWidth="1"/>
    <col min="16135" max="16135" width="7.28515625" style="46" customWidth="1"/>
    <col min="16136" max="16136" width="7.5703125" style="46" bestFit="1" customWidth="1"/>
    <col min="16137" max="16137" width="2.28515625" style="46" customWidth="1"/>
    <col min="16138" max="16384" width="9.140625" style="46"/>
  </cols>
  <sheetData>
    <row r="1" spans="1:8" ht="15.75" thickBot="1">
      <c r="A1" s="83" t="s">
        <v>116</v>
      </c>
    </row>
    <row r="2" spans="1:8">
      <c r="A2" s="84" t="s">
        <v>117</v>
      </c>
      <c r="B2" s="85" t="s">
        <v>118</v>
      </c>
      <c r="C2" s="85"/>
      <c r="D2" s="86">
        <v>65000</v>
      </c>
      <c r="E2" s="85"/>
      <c r="F2" s="85"/>
      <c r="G2" s="85"/>
      <c r="H2" s="87"/>
    </row>
    <row r="3" spans="1:8">
      <c r="A3" s="88" t="s">
        <v>119</v>
      </c>
      <c r="B3" s="46" t="s">
        <v>120</v>
      </c>
      <c r="D3" s="89">
        <v>8</v>
      </c>
      <c r="H3" s="90"/>
    </row>
    <row r="4" spans="1:8">
      <c r="A4" s="88" t="s">
        <v>121</v>
      </c>
      <c r="B4" s="46" t="s">
        <v>122</v>
      </c>
      <c r="D4" s="91">
        <v>260</v>
      </c>
      <c r="H4" s="90"/>
    </row>
    <row r="5" spans="1:8">
      <c r="A5" s="88" t="s">
        <v>64</v>
      </c>
      <c r="B5" s="92" t="s">
        <v>122</v>
      </c>
      <c r="D5" s="91">
        <v>8</v>
      </c>
      <c r="H5" s="90"/>
    </row>
    <row r="6" spans="1:8">
      <c r="A6" s="88" t="s">
        <v>123</v>
      </c>
      <c r="B6" s="46" t="s">
        <v>122</v>
      </c>
      <c r="D6" s="91">
        <v>30</v>
      </c>
      <c r="H6" s="90"/>
    </row>
    <row r="7" spans="1:8">
      <c r="A7" s="88" t="s">
        <v>124</v>
      </c>
      <c r="B7" s="92" t="s">
        <v>122</v>
      </c>
      <c r="D7" s="91">
        <f>D4-D5-D6</f>
        <v>222</v>
      </c>
      <c r="H7" s="90"/>
    </row>
    <row r="8" spans="1:8">
      <c r="A8" s="88" t="s">
        <v>125</v>
      </c>
      <c r="B8" s="46" t="s">
        <v>120</v>
      </c>
      <c r="D8" s="93">
        <f>D3*D7</f>
        <v>1776</v>
      </c>
      <c r="H8" s="90"/>
    </row>
    <row r="9" spans="1:8" ht="15.75" thickBot="1">
      <c r="A9" s="94" t="s">
        <v>126</v>
      </c>
      <c r="B9" s="95" t="s">
        <v>118</v>
      </c>
      <c r="C9" s="95"/>
      <c r="D9" s="96">
        <f>INT(10*D2/D8)/10</f>
        <v>36.5</v>
      </c>
      <c r="E9" s="95"/>
      <c r="F9" s="95"/>
      <c r="G9" s="95"/>
      <c r="H9" s="97"/>
    </row>
    <row r="10" spans="1:8" ht="6.75" customHeight="1">
      <c r="D10" s="99"/>
      <c r="H10" s="90"/>
    </row>
    <row r="11" spans="1:8" ht="15.75" thickBot="1">
      <c r="A11" s="83" t="s">
        <v>127</v>
      </c>
      <c r="D11" s="100"/>
      <c r="H11" s="90"/>
    </row>
    <row r="12" spans="1:8">
      <c r="A12" s="84" t="s">
        <v>128</v>
      </c>
      <c r="B12" s="85" t="s">
        <v>129</v>
      </c>
      <c r="C12" s="85"/>
      <c r="D12" s="101">
        <v>30</v>
      </c>
      <c r="E12" s="85"/>
      <c r="F12" s="85"/>
      <c r="G12" s="85"/>
      <c r="H12" s="87"/>
    </row>
    <row r="13" spans="1:8">
      <c r="A13" s="88" t="s">
        <v>130</v>
      </c>
      <c r="B13" s="46" t="s">
        <v>120</v>
      </c>
      <c r="D13" s="102">
        <f>225*D12/30</f>
        <v>225</v>
      </c>
      <c r="H13" s="90"/>
    </row>
    <row r="14" spans="1:8">
      <c r="A14" s="88" t="s">
        <v>131</v>
      </c>
      <c r="B14" s="46" t="s">
        <v>120</v>
      </c>
      <c r="D14" s="103">
        <v>20</v>
      </c>
      <c r="H14" s="90"/>
    </row>
    <row r="15" spans="1:8">
      <c r="A15" s="88" t="s">
        <v>132</v>
      </c>
      <c r="B15" s="46" t="s">
        <v>120</v>
      </c>
      <c r="D15" s="103">
        <v>30</v>
      </c>
      <c r="H15" s="90"/>
    </row>
    <row r="16" spans="1:8">
      <c r="A16" s="88" t="s">
        <v>133</v>
      </c>
      <c r="B16" s="46" t="s">
        <v>120</v>
      </c>
      <c r="D16" s="103">
        <v>30</v>
      </c>
      <c r="H16" s="90"/>
    </row>
    <row r="17" spans="1:8">
      <c r="A17" s="88" t="s">
        <v>134</v>
      </c>
      <c r="B17" s="46" t="s">
        <v>120</v>
      </c>
      <c r="D17" s="103">
        <v>10</v>
      </c>
      <c r="H17" s="90"/>
    </row>
    <row r="18" spans="1:8">
      <c r="A18" s="88" t="s">
        <v>135</v>
      </c>
      <c r="B18" s="46" t="s">
        <v>120</v>
      </c>
      <c r="D18" s="104">
        <f>D8+D13+D14+D15+D16+D17</f>
        <v>2091</v>
      </c>
      <c r="H18" s="90"/>
    </row>
    <row r="19" spans="1:8">
      <c r="A19" s="88" t="s">
        <v>136</v>
      </c>
      <c r="B19" s="46" t="s">
        <v>118</v>
      </c>
      <c r="D19" s="105">
        <f>INT(10*D35/D18)/10</f>
        <v>36.5</v>
      </c>
      <c r="H19" s="90"/>
    </row>
    <row r="20" spans="1:8">
      <c r="A20" s="88" t="s">
        <v>137</v>
      </c>
      <c r="B20" s="46" t="s">
        <v>118</v>
      </c>
      <c r="D20" s="103">
        <f>IF(D2&gt;64800,INT(0.199*64800/2),INT(0.199*D2/2))</f>
        <v>6447</v>
      </c>
      <c r="H20" s="90"/>
    </row>
    <row r="21" spans="1:8">
      <c r="A21" s="88" t="s">
        <v>138</v>
      </c>
      <c r="B21" s="46" t="s">
        <v>118</v>
      </c>
      <c r="D21" s="103">
        <f>IF(D2&gt;64800,INT(0.0395*64800/2),INT(0.0395*D2/2))</f>
        <v>1279</v>
      </c>
      <c r="H21" s="90"/>
    </row>
    <row r="22" spans="1:8">
      <c r="A22" s="88" t="s">
        <v>139</v>
      </c>
      <c r="B22" s="46" t="s">
        <v>118</v>
      </c>
      <c r="D22" s="103">
        <f>IF(D2&gt;48000,INT(0.15*48000/2),INT(0.15*D2/2))</f>
        <v>3600</v>
      </c>
      <c r="H22" s="90"/>
    </row>
    <row r="23" spans="1:8">
      <c r="A23" s="88" t="s">
        <v>140</v>
      </c>
      <c r="B23" s="46" t="s">
        <v>118</v>
      </c>
      <c r="D23" s="103">
        <v>200</v>
      </c>
      <c r="H23" s="90"/>
    </row>
    <row r="24" spans="1:8">
      <c r="A24" s="88" t="s">
        <v>141</v>
      </c>
      <c r="B24" s="46" t="s">
        <v>118</v>
      </c>
      <c r="D24" s="106">
        <f>D2+D20+D21+D22+D23</f>
        <v>76526</v>
      </c>
      <c r="H24" s="90"/>
    </row>
    <row r="25" spans="1:8">
      <c r="A25" s="88" t="s">
        <v>142</v>
      </c>
      <c r="B25" s="46" t="s">
        <v>118</v>
      </c>
      <c r="D25" s="103">
        <f>IF(D2&gt;64800,INT(0.199*64800),INT(0.199*D2))</f>
        <v>12895</v>
      </c>
      <c r="H25" s="90"/>
    </row>
    <row r="26" spans="1:8">
      <c r="A26" s="88" t="s">
        <v>143</v>
      </c>
      <c r="B26" s="46" t="s">
        <v>118</v>
      </c>
      <c r="D26" s="103">
        <f>IF(D2&gt;64800,INT(0.0395*64800),INT(0.0395*D2))</f>
        <v>2559</v>
      </c>
      <c r="H26" s="90"/>
    </row>
    <row r="27" spans="1:8">
      <c r="A27" s="88" t="s">
        <v>144</v>
      </c>
      <c r="B27" s="46" t="s">
        <v>118</v>
      </c>
      <c r="D27" s="103">
        <f>IF(D2&gt;44100,INT(0.159*44100),INT(0.159*D2))</f>
        <v>7011</v>
      </c>
      <c r="H27" s="90"/>
    </row>
    <row r="28" spans="1:8">
      <c r="A28" s="88" t="s">
        <v>145</v>
      </c>
      <c r="B28" s="46" t="s">
        <v>118</v>
      </c>
      <c r="C28" s="107"/>
      <c r="D28" s="108">
        <f>D24-D25-D26-D27</f>
        <v>54061</v>
      </c>
      <c r="H28" s="90"/>
    </row>
    <row r="29" spans="1:8">
      <c r="A29" s="88" t="s">
        <v>146</v>
      </c>
      <c r="B29" s="46" t="s">
        <v>118</v>
      </c>
      <c r="C29" s="107"/>
      <c r="D29" s="109">
        <f>INT((D28-3500)/100)*100</f>
        <v>50500</v>
      </c>
      <c r="H29" s="90"/>
    </row>
    <row r="30" spans="1:8">
      <c r="A30" s="88" t="s">
        <v>147</v>
      </c>
      <c r="B30" s="46" t="s">
        <v>118</v>
      </c>
      <c r="C30" s="107"/>
      <c r="D30" s="110">
        <f>IF(D29&lt;7664,0,IF(D29&lt;12740,(883.74*(D29-7664)/10000+1500)*(D29-7664)/10000,IF(D29&lt;52152,(228.74*(D29-12739)/10000+2397)*(D29-12739)/10000+989,0.42*D29-7914)))</f>
        <v>13301.899624975402</v>
      </c>
      <c r="H30" s="90"/>
    </row>
    <row r="31" spans="1:8">
      <c r="A31" s="88" t="s">
        <v>148</v>
      </c>
      <c r="B31" s="46" t="s">
        <v>118</v>
      </c>
      <c r="C31" s="107"/>
      <c r="D31" s="110">
        <f>D28-D30</f>
        <v>40759.100375024602</v>
      </c>
      <c r="H31" s="90"/>
    </row>
    <row r="32" spans="1:8" ht="15.75" thickBot="1">
      <c r="A32" s="94" t="s">
        <v>149</v>
      </c>
      <c r="B32" s="95" t="s">
        <v>118</v>
      </c>
      <c r="C32" s="111"/>
      <c r="D32" s="112">
        <f>INT(D31/D18*10)/10</f>
        <v>19.399999999999999</v>
      </c>
      <c r="E32" s="95"/>
      <c r="F32" s="95"/>
      <c r="G32" s="95"/>
      <c r="H32" s="97"/>
    </row>
    <row r="33" spans="1:8" ht="6.75" customHeight="1">
      <c r="C33" s="107"/>
      <c r="D33" s="113"/>
      <c r="H33" s="90"/>
    </row>
    <row r="34" spans="1:8" ht="15.75" thickBot="1">
      <c r="A34" s="83" t="s">
        <v>150</v>
      </c>
      <c r="D34" s="99"/>
      <c r="H34" s="90"/>
    </row>
    <row r="35" spans="1:8">
      <c r="A35" s="84" t="s">
        <v>151</v>
      </c>
      <c r="B35" s="85" t="s">
        <v>118</v>
      </c>
      <c r="C35" s="114"/>
      <c r="D35" s="115">
        <f>D24</f>
        <v>76526</v>
      </c>
      <c r="E35" s="85"/>
      <c r="F35" s="85"/>
      <c r="G35" s="85"/>
      <c r="H35" s="87"/>
    </row>
    <row r="36" spans="1:8">
      <c r="A36" s="88" t="s">
        <v>152</v>
      </c>
      <c r="B36" s="46" t="s">
        <v>118</v>
      </c>
      <c r="C36" s="107"/>
      <c r="D36" s="103">
        <v>25000</v>
      </c>
      <c r="H36" s="90"/>
    </row>
    <row r="37" spans="1:8">
      <c r="A37" s="88" t="s">
        <v>153</v>
      </c>
      <c r="B37" s="46" t="s">
        <v>118</v>
      </c>
      <c r="C37" s="107"/>
      <c r="D37" s="103">
        <v>2500</v>
      </c>
      <c r="H37" s="90"/>
    </row>
    <row r="38" spans="1:8">
      <c r="A38" s="88" t="s">
        <v>154</v>
      </c>
      <c r="B38" s="46" t="s">
        <v>118</v>
      </c>
      <c r="C38" s="107"/>
      <c r="D38" s="103">
        <f>INT((D35+D36+D37)/100)*100</f>
        <v>104000</v>
      </c>
      <c r="H38" s="90"/>
    </row>
    <row r="39" spans="1:8">
      <c r="A39" s="88" t="s">
        <v>155</v>
      </c>
      <c r="B39" s="92" t="s">
        <v>120</v>
      </c>
      <c r="C39" s="107"/>
      <c r="D39" s="103">
        <v>60</v>
      </c>
      <c r="H39" s="90"/>
    </row>
    <row r="40" spans="1:8">
      <c r="A40" s="88" t="s">
        <v>156</v>
      </c>
      <c r="B40" s="92" t="s">
        <v>120</v>
      </c>
      <c r="C40" s="107"/>
      <c r="D40" s="103">
        <v>40</v>
      </c>
      <c r="H40" s="90"/>
    </row>
    <row r="41" spans="1:8">
      <c r="A41" s="88" t="s">
        <v>157</v>
      </c>
      <c r="B41" s="92" t="s">
        <v>120</v>
      </c>
      <c r="C41" s="107"/>
      <c r="D41" s="109">
        <f>D8-D39-D40</f>
        <v>1676</v>
      </c>
      <c r="H41" s="90"/>
    </row>
    <row r="42" spans="1:8" ht="15.75" thickBot="1">
      <c r="A42" s="94" t="s">
        <v>158</v>
      </c>
      <c r="B42" s="116" t="s">
        <v>118</v>
      </c>
      <c r="C42" s="95"/>
      <c r="D42" s="117">
        <f>INT(10*D38/D41)/10</f>
        <v>62</v>
      </c>
      <c r="E42" s="95"/>
      <c r="F42" s="95"/>
      <c r="G42" s="95"/>
      <c r="H42" s="97"/>
    </row>
    <row r="43" spans="1:8" ht="6" customHeight="1">
      <c r="D43" s="100"/>
      <c r="H43" s="90"/>
    </row>
    <row r="44" spans="1:8" ht="6" customHeight="1">
      <c r="D44" s="100"/>
      <c r="H44" s="90"/>
    </row>
    <row r="45" spans="1:8" ht="15.75" thickBot="1">
      <c r="A45" s="83" t="s">
        <v>159</v>
      </c>
      <c r="D45" s="118"/>
      <c r="H45" s="90"/>
    </row>
    <row r="46" spans="1:8">
      <c r="A46" s="84" t="s">
        <v>160</v>
      </c>
      <c r="B46" s="85" t="s">
        <v>118</v>
      </c>
      <c r="C46" s="85"/>
      <c r="D46" s="119">
        <f>D35</f>
        <v>76526</v>
      </c>
      <c r="E46" s="120"/>
      <c r="F46" s="120"/>
      <c r="G46" s="121">
        <f>D46</f>
        <v>76526</v>
      </c>
      <c r="H46" s="87"/>
    </row>
    <row r="47" spans="1:8">
      <c r="A47" s="88" t="s">
        <v>161</v>
      </c>
      <c r="B47" s="46" t="s">
        <v>118</v>
      </c>
      <c r="D47" s="103">
        <f>INT((D20+D21+D22-2600)*0.045)*10</f>
        <v>3920</v>
      </c>
      <c r="G47" s="122">
        <f>D47</f>
        <v>3920</v>
      </c>
      <c r="H47" s="90"/>
    </row>
    <row r="48" spans="1:8">
      <c r="A48" s="88" t="s">
        <v>162</v>
      </c>
      <c r="B48" s="46" t="s">
        <v>118</v>
      </c>
      <c r="D48" s="103">
        <f>-D25</f>
        <v>-12895</v>
      </c>
      <c r="G48" s="122">
        <f>D48</f>
        <v>-12895</v>
      </c>
      <c r="H48" s="90"/>
    </row>
    <row r="49" spans="1:8">
      <c r="A49" s="88" t="s">
        <v>163</v>
      </c>
      <c r="B49" s="46" t="s">
        <v>118</v>
      </c>
      <c r="D49" s="103">
        <f>-INT(0.075*D48)*10</f>
        <v>9680</v>
      </c>
      <c r="G49" s="122">
        <f>-INT(0.08*G48)*10</f>
        <v>10320</v>
      </c>
      <c r="H49" s="90"/>
    </row>
    <row r="50" spans="1:8">
      <c r="A50" s="88" t="s">
        <v>164</v>
      </c>
      <c r="B50" s="46" t="s">
        <v>118</v>
      </c>
      <c r="D50" s="103">
        <f>-D21</f>
        <v>-1279</v>
      </c>
      <c r="G50" s="122">
        <f>D50</f>
        <v>-1279</v>
      </c>
      <c r="H50" s="90"/>
    </row>
    <row r="51" spans="1:8">
      <c r="A51" s="88" t="s">
        <v>165</v>
      </c>
      <c r="B51" s="46" t="s">
        <v>118</v>
      </c>
      <c r="D51" s="103">
        <v>1000</v>
      </c>
      <c r="G51" s="122">
        <v>3000</v>
      </c>
      <c r="H51" s="90"/>
    </row>
    <row r="52" spans="1:8">
      <c r="A52" s="88" t="s">
        <v>166</v>
      </c>
      <c r="B52" s="46" t="s">
        <v>118</v>
      </c>
      <c r="D52" s="103">
        <f>-D27</f>
        <v>-7011</v>
      </c>
      <c r="G52" s="122">
        <f>D52</f>
        <v>-7011</v>
      </c>
      <c r="H52" s="90"/>
    </row>
    <row r="53" spans="1:8">
      <c r="A53" s="88" t="s">
        <v>167</v>
      </c>
      <c r="B53" s="46" t="s">
        <v>118</v>
      </c>
      <c r="D53" s="103">
        <v>6000</v>
      </c>
      <c r="G53" s="122">
        <v>6000</v>
      </c>
      <c r="H53" s="90"/>
    </row>
    <row r="54" spans="1:8">
      <c r="A54" s="88" t="s">
        <v>168</v>
      </c>
      <c r="B54" s="46" t="s">
        <v>118</v>
      </c>
      <c r="D54" s="103">
        <v>500</v>
      </c>
      <c r="G54" s="122">
        <v>1000</v>
      </c>
      <c r="H54" s="90"/>
    </row>
    <row r="55" spans="1:8">
      <c r="A55" s="88" t="s">
        <v>169</v>
      </c>
      <c r="B55" s="46" t="s">
        <v>118</v>
      </c>
      <c r="D55" s="103">
        <v>600</v>
      </c>
      <c r="G55" s="122">
        <v>1200</v>
      </c>
      <c r="H55" s="90"/>
    </row>
    <row r="56" spans="1:8">
      <c r="A56" s="88" t="s">
        <v>153</v>
      </c>
      <c r="B56" s="46" t="s">
        <v>118</v>
      </c>
      <c r="D56" s="103">
        <v>1000</v>
      </c>
      <c r="G56" s="122">
        <v>3000</v>
      </c>
      <c r="H56" s="90"/>
    </row>
    <row r="57" spans="1:8">
      <c r="A57" s="88" t="s">
        <v>170</v>
      </c>
      <c r="B57" s="46" t="s">
        <v>118</v>
      </c>
      <c r="D57" s="103">
        <v>1000</v>
      </c>
      <c r="G57" s="122">
        <v>2000</v>
      </c>
      <c r="H57" s="90"/>
    </row>
    <row r="58" spans="1:8">
      <c r="A58" s="88" t="s">
        <v>171</v>
      </c>
      <c r="B58" s="46" t="s">
        <v>118</v>
      </c>
      <c r="D58" s="103">
        <v>3000</v>
      </c>
      <c r="G58" s="122">
        <v>5000</v>
      </c>
      <c r="H58" s="90"/>
    </row>
    <row r="59" spans="1:8">
      <c r="A59" s="88" t="s">
        <v>14</v>
      </c>
      <c r="B59" s="46" t="s">
        <v>118</v>
      </c>
      <c r="D59" s="103">
        <v>2000</v>
      </c>
      <c r="G59" s="122">
        <v>3000</v>
      </c>
      <c r="H59" s="90"/>
    </row>
    <row r="60" spans="1:8">
      <c r="A60" s="88" t="s">
        <v>172</v>
      </c>
      <c r="B60" s="46" t="s">
        <v>118</v>
      </c>
      <c r="D60" s="103">
        <v>4000</v>
      </c>
      <c r="G60" s="122">
        <v>6000</v>
      </c>
      <c r="H60" s="90"/>
    </row>
    <row r="61" spans="1:8">
      <c r="A61" s="88" t="s">
        <v>173</v>
      </c>
      <c r="B61" s="46" t="s">
        <v>118</v>
      </c>
      <c r="D61" s="103">
        <v>-2000</v>
      </c>
      <c r="G61" s="122">
        <v>-3000</v>
      </c>
      <c r="H61" s="90"/>
    </row>
    <row r="62" spans="1:8">
      <c r="A62" s="88" t="s">
        <v>174</v>
      </c>
      <c r="B62" s="46" t="s">
        <v>118</v>
      </c>
      <c r="D62" s="103">
        <v>2000</v>
      </c>
      <c r="G62" s="122">
        <v>3000</v>
      </c>
      <c r="H62" s="90"/>
    </row>
    <row r="63" spans="1:8">
      <c r="A63" s="88" t="s">
        <v>175</v>
      </c>
      <c r="B63" s="46" t="s">
        <v>118</v>
      </c>
      <c r="D63" s="103">
        <v>5000</v>
      </c>
      <c r="G63" s="122">
        <v>5000</v>
      </c>
      <c r="H63" s="90"/>
    </row>
    <row r="64" spans="1:8">
      <c r="A64" s="88" t="s">
        <v>176</v>
      </c>
      <c r="B64" s="46" t="s">
        <v>118</v>
      </c>
      <c r="D64" s="123">
        <f>INT(SUM(D46:D63)/100+0.5)*100</f>
        <v>93000</v>
      </c>
      <c r="G64" s="124">
        <f>INT(SUM(G46:G63)/100+0.5)*100</f>
        <v>104800</v>
      </c>
      <c r="H64" s="90"/>
    </row>
    <row r="65" spans="1:8" ht="13.15" customHeight="1">
      <c r="A65" s="88"/>
      <c r="D65" s="125"/>
      <c r="G65" s="68"/>
      <c r="H65" s="90"/>
    </row>
    <row r="66" spans="1:8" ht="13.15" customHeight="1">
      <c r="A66" s="88" t="s">
        <v>177</v>
      </c>
      <c r="D66" s="125">
        <f>INT((D64+G64)/1000+1)*500</f>
        <v>99000</v>
      </c>
      <c r="G66" s="68">
        <f>D66</f>
        <v>99000</v>
      </c>
      <c r="H66" s="90"/>
    </row>
    <row r="67" spans="1:8" ht="13.15" customHeight="1" thickBot="1">
      <c r="A67" s="94" t="s">
        <v>178</v>
      </c>
      <c r="B67" s="95"/>
      <c r="C67" s="95"/>
      <c r="D67" s="126">
        <f>D2</f>
        <v>65000</v>
      </c>
      <c r="E67" s="127">
        <f>D66/D67</f>
        <v>1.523076923076923</v>
      </c>
      <c r="F67" s="95"/>
      <c r="G67" s="128"/>
      <c r="H67" s="97"/>
    </row>
    <row r="68" spans="1:8" ht="13.15" customHeight="1">
      <c r="D68" s="125"/>
      <c r="G68" s="68"/>
      <c r="H68" s="90"/>
    </row>
    <row r="69" spans="1:8" ht="13.15" customHeight="1">
      <c r="D69" s="125"/>
      <c r="G69" s="68"/>
      <c r="H69" s="90"/>
    </row>
    <row r="70" spans="1:8" ht="15.75" thickBot="1">
      <c r="A70" s="83" t="s">
        <v>179</v>
      </c>
      <c r="D70" s="125"/>
      <c r="G70" s="68"/>
      <c r="H70" s="90"/>
    </row>
    <row r="71" spans="1:8">
      <c r="A71" s="84" t="s">
        <v>180</v>
      </c>
      <c r="B71" s="85" t="s">
        <v>120</v>
      </c>
      <c r="C71" s="85"/>
      <c r="D71" s="129">
        <f>D18</f>
        <v>2091</v>
      </c>
      <c r="E71" s="85"/>
      <c r="F71" s="85"/>
      <c r="G71" s="130">
        <f>D71</f>
        <v>2091</v>
      </c>
      <c r="H71" s="87"/>
    </row>
    <row r="72" spans="1:8">
      <c r="A72" s="88" t="s">
        <v>181</v>
      </c>
      <c r="B72" s="46" t="s">
        <v>120</v>
      </c>
      <c r="D72" s="103">
        <v>-20</v>
      </c>
      <c r="G72" s="122">
        <v>-20</v>
      </c>
      <c r="H72" s="90"/>
    </row>
    <row r="73" spans="1:8">
      <c r="A73" s="88" t="s">
        <v>182</v>
      </c>
      <c r="B73" s="46" t="s">
        <v>120</v>
      </c>
      <c r="D73" s="103">
        <v>-40</v>
      </c>
      <c r="G73" s="122">
        <v>-60</v>
      </c>
      <c r="H73" s="90"/>
    </row>
    <row r="74" spans="1:8">
      <c r="A74" s="88" t="s">
        <v>183</v>
      </c>
      <c r="B74" s="46" t="s">
        <v>120</v>
      </c>
      <c r="D74" s="103">
        <v>-30</v>
      </c>
      <c r="G74" s="122">
        <v>-40</v>
      </c>
      <c r="H74" s="90"/>
    </row>
    <row r="75" spans="1:8">
      <c r="A75" s="88" t="s">
        <v>184</v>
      </c>
      <c r="B75" s="46" t="s">
        <v>120</v>
      </c>
      <c r="D75" s="103">
        <v>-40</v>
      </c>
      <c r="G75" s="122">
        <v>-60</v>
      </c>
      <c r="H75" s="90"/>
    </row>
    <row r="76" spans="1:8">
      <c r="A76" s="88" t="s">
        <v>185</v>
      </c>
      <c r="B76" s="46" t="s">
        <v>120</v>
      </c>
      <c r="D76" s="103">
        <v>-20</v>
      </c>
      <c r="G76" s="122">
        <v>-40</v>
      </c>
      <c r="H76" s="90"/>
    </row>
    <row r="77" spans="1:8">
      <c r="A77" s="88" t="s">
        <v>186</v>
      </c>
      <c r="B77" s="46" t="s">
        <v>120</v>
      </c>
      <c r="D77" s="103">
        <v>-80</v>
      </c>
      <c r="G77" s="122">
        <v>-120</v>
      </c>
      <c r="H77" s="90"/>
    </row>
    <row r="78" spans="1:8">
      <c r="A78" s="88" t="s">
        <v>187</v>
      </c>
      <c r="B78" s="46" t="s">
        <v>120</v>
      </c>
      <c r="D78" s="103">
        <v>-60</v>
      </c>
      <c r="G78" s="122">
        <v>-80</v>
      </c>
      <c r="H78" s="90"/>
    </row>
    <row r="79" spans="1:8">
      <c r="A79" s="88" t="s">
        <v>188</v>
      </c>
      <c r="B79" s="46" t="s">
        <v>120</v>
      </c>
      <c r="D79" s="103">
        <v>-40</v>
      </c>
      <c r="G79" s="122">
        <v>-60</v>
      </c>
      <c r="H79" s="90"/>
    </row>
    <row r="80" spans="1:8">
      <c r="A80" s="88" t="s">
        <v>189</v>
      </c>
      <c r="B80" s="46" t="s">
        <v>120</v>
      </c>
      <c r="D80" s="103">
        <v>-20</v>
      </c>
      <c r="G80" s="122">
        <v>-30</v>
      </c>
      <c r="H80" s="90"/>
    </row>
    <row r="81" spans="1:8">
      <c r="A81" s="88" t="s">
        <v>190</v>
      </c>
      <c r="B81" s="46" t="s">
        <v>120</v>
      </c>
      <c r="D81" s="131">
        <f>SUM(D71:D80)</f>
        <v>1741</v>
      </c>
      <c r="G81" s="132">
        <f>SUM(G71:G80)</f>
        <v>1581</v>
      </c>
      <c r="H81" s="90"/>
    </row>
    <row r="82" spans="1:8" ht="12.75" customHeight="1" thickBot="1">
      <c r="A82" s="94" t="s">
        <v>191</v>
      </c>
      <c r="B82" s="95" t="s">
        <v>118</v>
      </c>
      <c r="C82" s="95"/>
      <c r="D82" s="133">
        <f>INT(D66/D81*10+0.5)/10</f>
        <v>56.9</v>
      </c>
      <c r="E82" s="134"/>
      <c r="F82" s="135"/>
      <c r="G82" s="136">
        <f>INT(G66/G81*10+0.5)/10</f>
        <v>62.6</v>
      </c>
      <c r="H82" s="137"/>
    </row>
    <row r="83" spans="1:8" ht="6.75" customHeight="1">
      <c r="D83" s="118"/>
      <c r="H83" s="90"/>
    </row>
    <row r="84" spans="1:8" ht="13.15" customHeight="1">
      <c r="D84" s="118"/>
      <c r="H84" s="90"/>
    </row>
    <row r="85" spans="1:8" ht="13.15" customHeight="1">
      <c r="A85" s="88" t="s">
        <v>177</v>
      </c>
      <c r="C85" s="138"/>
      <c r="D85" s="139">
        <f>(D82+G82)/2</f>
        <v>59.75</v>
      </c>
      <c r="E85" s="140">
        <f>D85</f>
        <v>59.75</v>
      </c>
      <c r="F85" s="138"/>
      <c r="G85" s="140">
        <f>E85</f>
        <v>59.75</v>
      </c>
      <c r="H85" s="141">
        <f>G85</f>
        <v>59.75</v>
      </c>
    </row>
    <row r="86" spans="1:8" ht="13.15" customHeight="1">
      <c r="D86" s="118"/>
      <c r="H86" s="90"/>
    </row>
    <row r="87" spans="1:8" ht="13.15" customHeight="1">
      <c r="D87" s="118"/>
      <c r="H87" s="90"/>
    </row>
    <row r="88" spans="1:8" ht="15.75" thickBot="1">
      <c r="A88" s="83" t="s">
        <v>192</v>
      </c>
      <c r="D88" s="118"/>
      <c r="H88" s="90"/>
    </row>
    <row r="89" spans="1:8">
      <c r="A89" s="84" t="s">
        <v>193</v>
      </c>
      <c r="B89" s="85" t="s">
        <v>120</v>
      </c>
      <c r="C89" s="87"/>
      <c r="D89" s="142">
        <v>900</v>
      </c>
      <c r="E89" s="143">
        <f>D89</f>
        <v>900</v>
      </c>
      <c r="F89" s="85"/>
      <c r="G89" s="144">
        <v>450</v>
      </c>
      <c r="H89" s="145">
        <v>450</v>
      </c>
    </row>
    <row r="90" spans="1:8">
      <c r="A90" s="88" t="s">
        <v>194</v>
      </c>
      <c r="B90" s="46" t="s">
        <v>120</v>
      </c>
      <c r="C90" s="90"/>
      <c r="D90" s="146">
        <v>800</v>
      </c>
      <c r="E90" s="147">
        <v>100</v>
      </c>
      <c r="G90" s="148">
        <v>400</v>
      </c>
      <c r="H90" s="149">
        <v>50</v>
      </c>
    </row>
    <row r="91" spans="1:8">
      <c r="A91" s="88" t="s">
        <v>195</v>
      </c>
      <c r="B91" s="46" t="s">
        <v>120</v>
      </c>
      <c r="C91" s="90"/>
      <c r="D91" s="118">
        <f>D89-D90</f>
        <v>100</v>
      </c>
      <c r="E91" s="46">
        <f>E89-E90</f>
        <v>800</v>
      </c>
      <c r="G91" s="46">
        <f>G89-G90</f>
        <v>50</v>
      </c>
      <c r="H91" s="90">
        <f>H89-H90</f>
        <v>400</v>
      </c>
    </row>
    <row r="92" spans="1:8" ht="6.75" customHeight="1">
      <c r="A92" s="88"/>
      <c r="C92" s="90"/>
      <c r="D92" s="118"/>
      <c r="H92" s="90"/>
    </row>
    <row r="93" spans="1:8">
      <c r="A93" s="88" t="s">
        <v>196</v>
      </c>
      <c r="B93" s="46" t="s">
        <v>120</v>
      </c>
      <c r="C93" s="90"/>
      <c r="D93" s="89">
        <v>8</v>
      </c>
      <c r="E93" s="150">
        <v>8</v>
      </c>
      <c r="G93" s="150">
        <v>8</v>
      </c>
      <c r="H93" s="151">
        <v>8</v>
      </c>
    </row>
    <row r="94" spans="1:8">
      <c r="A94" s="88" t="s">
        <v>197</v>
      </c>
      <c r="B94" s="46" t="s">
        <v>122</v>
      </c>
      <c r="C94" s="90"/>
      <c r="D94" s="118">
        <f>INT(D91/D93+0.5)</f>
        <v>13</v>
      </c>
      <c r="E94" s="46">
        <f>INT(E91/E93+0.5)</f>
        <v>100</v>
      </c>
      <c r="G94" s="46">
        <f>INT(G91/G93+0.5)</f>
        <v>6</v>
      </c>
      <c r="H94" s="90">
        <f>INT(H91/H93+0.5)</f>
        <v>50</v>
      </c>
    </row>
    <row r="95" spans="1:8">
      <c r="A95" s="88" t="s">
        <v>198</v>
      </c>
      <c r="B95" s="46" t="s">
        <v>199</v>
      </c>
      <c r="C95" s="90"/>
      <c r="D95" s="118">
        <f>INT(D94/5+0.5)</f>
        <v>3</v>
      </c>
      <c r="E95" s="46">
        <f>INT(E94/5+0.5)</f>
        <v>20</v>
      </c>
      <c r="G95" s="46">
        <f>INT(G94/5+0.5)</f>
        <v>1</v>
      </c>
      <c r="H95" s="90">
        <f>INT(H94/5+0.5)</f>
        <v>10</v>
      </c>
    </row>
    <row r="96" spans="1:8">
      <c r="A96" s="88" t="s">
        <v>200</v>
      </c>
      <c r="B96" s="46" t="s">
        <v>201</v>
      </c>
      <c r="C96" s="90"/>
      <c r="D96" s="118">
        <f>D95*4</f>
        <v>12</v>
      </c>
      <c r="E96" s="46">
        <f>E95*4</f>
        <v>80</v>
      </c>
      <c r="G96" s="46">
        <f>G95*4</f>
        <v>4</v>
      </c>
      <c r="H96" s="90">
        <f>H95*4</f>
        <v>40</v>
      </c>
    </row>
    <row r="97" spans="1:8">
      <c r="A97" s="88" t="s">
        <v>202</v>
      </c>
      <c r="B97" s="46" t="s">
        <v>118</v>
      </c>
      <c r="C97" s="90"/>
      <c r="D97" s="152">
        <v>45</v>
      </c>
      <c r="E97" s="153">
        <v>50</v>
      </c>
      <c r="G97" s="153">
        <v>45</v>
      </c>
      <c r="H97" s="154">
        <v>50</v>
      </c>
    </row>
    <row r="98" spans="1:8">
      <c r="A98" s="88" t="s">
        <v>203</v>
      </c>
      <c r="B98" s="46" t="s">
        <v>118</v>
      </c>
      <c r="C98" s="90"/>
      <c r="D98" s="152">
        <v>5</v>
      </c>
      <c r="E98" s="153">
        <v>10</v>
      </c>
      <c r="G98" s="153">
        <v>5</v>
      </c>
      <c r="H98" s="154">
        <v>10</v>
      </c>
    </row>
    <row r="99" spans="1:8">
      <c r="A99" s="88" t="s">
        <v>204</v>
      </c>
      <c r="B99" s="46" t="s">
        <v>118</v>
      </c>
      <c r="C99" s="90"/>
      <c r="D99" s="152">
        <v>1</v>
      </c>
      <c r="E99" s="153">
        <v>3</v>
      </c>
      <c r="G99" s="153">
        <v>1</v>
      </c>
      <c r="H99" s="154">
        <v>3</v>
      </c>
    </row>
    <row r="100" spans="1:8">
      <c r="A100" s="88" t="s">
        <v>205</v>
      </c>
      <c r="B100" s="46" t="s">
        <v>118</v>
      </c>
      <c r="C100" s="90"/>
      <c r="D100" s="152">
        <v>-24</v>
      </c>
      <c r="E100" s="153">
        <v>-24</v>
      </c>
      <c r="G100" s="153">
        <v>-24</v>
      </c>
      <c r="H100" s="154">
        <v>-24</v>
      </c>
    </row>
    <row r="101" spans="1:8">
      <c r="A101" s="155" t="s">
        <v>206</v>
      </c>
      <c r="B101" s="46" t="s">
        <v>118</v>
      </c>
      <c r="C101" s="90"/>
      <c r="D101" s="105">
        <f>D97+D98+D99+D100</f>
        <v>27</v>
      </c>
      <c r="E101" s="156">
        <f>E97+E98+E99+E100</f>
        <v>39</v>
      </c>
      <c r="G101" s="156">
        <f>G97+G98+G99+G100</f>
        <v>27</v>
      </c>
      <c r="H101" s="157">
        <f>H97+H98+H99+H100</f>
        <v>39</v>
      </c>
    </row>
    <row r="102" spans="1:8">
      <c r="A102" s="88" t="s">
        <v>207</v>
      </c>
      <c r="B102" s="46" t="s">
        <v>118</v>
      </c>
      <c r="C102" s="90"/>
      <c r="D102" s="158">
        <f>D101*D96</f>
        <v>324</v>
      </c>
      <c r="E102" s="159">
        <f>E101*E96</f>
        <v>3120</v>
      </c>
      <c r="G102" s="159">
        <f>G101*G96</f>
        <v>108</v>
      </c>
      <c r="H102" s="160">
        <f>H101*H96</f>
        <v>1560</v>
      </c>
    </row>
    <row r="103" spans="1:8">
      <c r="A103" s="88" t="s">
        <v>208</v>
      </c>
      <c r="B103" s="46" t="s">
        <v>118</v>
      </c>
      <c r="C103" s="90"/>
      <c r="D103" s="152">
        <v>200</v>
      </c>
      <c r="E103" s="153">
        <v>300</v>
      </c>
      <c r="G103" s="153">
        <v>200</v>
      </c>
      <c r="H103" s="154">
        <v>300</v>
      </c>
    </row>
    <row r="104" spans="1:8">
      <c r="A104" s="88" t="s">
        <v>209</v>
      </c>
      <c r="B104" s="46" t="s">
        <v>118</v>
      </c>
      <c r="C104" s="90"/>
      <c r="D104" s="152">
        <v>100</v>
      </c>
      <c r="E104" s="153">
        <v>200</v>
      </c>
      <c r="G104" s="153">
        <v>100</v>
      </c>
      <c r="H104" s="154">
        <v>200</v>
      </c>
    </row>
    <row r="105" spans="1:8">
      <c r="A105" s="155" t="s">
        <v>210</v>
      </c>
      <c r="B105" s="46" t="s">
        <v>118</v>
      </c>
      <c r="C105" s="90"/>
      <c r="D105" s="105">
        <f>D102+D103+D104</f>
        <v>624</v>
      </c>
      <c r="E105" s="156">
        <f>E102+E103+E104</f>
        <v>3620</v>
      </c>
      <c r="G105" s="156">
        <f>G102+G103+G104</f>
        <v>408</v>
      </c>
      <c r="H105" s="157">
        <f>H102+H103+H104</f>
        <v>2060</v>
      </c>
    </row>
    <row r="106" spans="1:8" ht="7.5" customHeight="1">
      <c r="A106" s="88"/>
      <c r="C106" s="90"/>
      <c r="D106" s="118"/>
      <c r="H106" s="90"/>
    </row>
    <row r="107" spans="1:8">
      <c r="A107" s="88" t="s">
        <v>211</v>
      </c>
      <c r="B107" s="46" t="s">
        <v>118</v>
      </c>
      <c r="C107" s="90"/>
      <c r="D107" s="105">
        <f>INT(10*D105/D89+1)/10</f>
        <v>0.7</v>
      </c>
      <c r="E107" s="156">
        <f>INT(10*E105/E89+1)/10</f>
        <v>4.0999999999999996</v>
      </c>
      <c r="G107" s="156">
        <f>INT(10*G105/G89+1)/10</f>
        <v>1</v>
      </c>
      <c r="H107" s="157">
        <f>INT(10*H105/H89+1)/10</f>
        <v>4.5999999999999996</v>
      </c>
    </row>
    <row r="108" spans="1:8">
      <c r="A108" s="155" t="s">
        <v>212</v>
      </c>
      <c r="B108" s="46" t="s">
        <v>118</v>
      </c>
      <c r="C108" s="161">
        <f t="shared" ref="C108:H108" si="0">C85+C107</f>
        <v>0</v>
      </c>
      <c r="D108" s="162">
        <f t="shared" si="0"/>
        <v>60.45</v>
      </c>
      <c r="E108" s="163">
        <f t="shared" si="0"/>
        <v>63.85</v>
      </c>
      <c r="F108" s="163">
        <f t="shared" si="0"/>
        <v>0</v>
      </c>
      <c r="G108" s="163">
        <f t="shared" si="0"/>
        <v>60.75</v>
      </c>
      <c r="H108" s="161">
        <f t="shared" si="0"/>
        <v>64.349999999999994</v>
      </c>
    </row>
    <row r="109" spans="1:8" ht="6" customHeight="1">
      <c r="A109" s="88"/>
      <c r="C109" s="90"/>
      <c r="D109" s="118"/>
      <c r="H109" s="90"/>
    </row>
    <row r="110" spans="1:8">
      <c r="A110" s="88" t="s">
        <v>213</v>
      </c>
      <c r="B110" s="46" t="s">
        <v>129</v>
      </c>
      <c r="C110" s="90"/>
      <c r="D110" s="103">
        <v>10</v>
      </c>
      <c r="E110" s="122">
        <v>15</v>
      </c>
      <c r="G110" s="122">
        <v>10</v>
      </c>
      <c r="H110" s="164">
        <v>15</v>
      </c>
    </row>
    <row r="111" spans="1:8">
      <c r="A111" s="88" t="s">
        <v>214</v>
      </c>
      <c r="B111" s="46" t="s">
        <v>120</v>
      </c>
      <c r="C111" s="90"/>
      <c r="D111" s="103">
        <v>2</v>
      </c>
      <c r="E111" s="122">
        <v>3</v>
      </c>
      <c r="G111" s="122">
        <v>2</v>
      </c>
      <c r="H111" s="164">
        <v>3</v>
      </c>
    </row>
    <row r="112" spans="1:8">
      <c r="A112" s="88" t="s">
        <v>215</v>
      </c>
      <c r="B112" s="46" t="s">
        <v>120</v>
      </c>
      <c r="C112" s="90"/>
      <c r="D112" s="103">
        <v>1</v>
      </c>
      <c r="E112" s="122">
        <v>1</v>
      </c>
      <c r="G112" s="122">
        <v>1</v>
      </c>
      <c r="H112" s="164">
        <v>1</v>
      </c>
    </row>
    <row r="113" spans="1:9">
      <c r="A113" s="88" t="s">
        <v>216</v>
      </c>
      <c r="B113" s="46" t="s">
        <v>120</v>
      </c>
      <c r="C113" s="90"/>
      <c r="D113" s="102">
        <f>2*D110/60*D96+2*(D111+D112)*D95</f>
        <v>22</v>
      </c>
      <c r="E113" s="165">
        <f>2*E110/60*E96+2*(E111+E112)*E95</f>
        <v>200</v>
      </c>
      <c r="G113" s="165">
        <f>2*G110/60*G96+2*(G111+G112)*G95</f>
        <v>7.333333333333333</v>
      </c>
      <c r="H113" s="166">
        <f>2*H110/60*H96+2*(H111+H112)*H95</f>
        <v>100</v>
      </c>
    </row>
    <row r="114" spans="1:9">
      <c r="A114" s="88" t="s">
        <v>217</v>
      </c>
      <c r="B114" s="46" t="s">
        <v>120</v>
      </c>
      <c r="C114" s="90"/>
      <c r="D114" s="103">
        <v>10</v>
      </c>
      <c r="E114" s="122">
        <v>10</v>
      </c>
      <c r="G114" s="122">
        <v>10</v>
      </c>
      <c r="H114" s="164">
        <v>10</v>
      </c>
      <c r="I114" s="167"/>
    </row>
    <row r="115" spans="1:9">
      <c r="A115" s="88" t="s">
        <v>218</v>
      </c>
      <c r="B115" s="46" t="s">
        <v>120</v>
      </c>
      <c r="C115" s="90"/>
      <c r="D115" s="103">
        <v>5</v>
      </c>
      <c r="E115" s="122">
        <v>5</v>
      </c>
      <c r="G115" s="122">
        <v>3</v>
      </c>
      <c r="H115" s="164">
        <v>3</v>
      </c>
    </row>
    <row r="116" spans="1:9">
      <c r="A116" s="88" t="s">
        <v>219</v>
      </c>
      <c r="B116" s="46" t="s">
        <v>120</v>
      </c>
      <c r="C116" s="90"/>
      <c r="D116" s="103">
        <v>4</v>
      </c>
      <c r="E116" s="122">
        <v>4</v>
      </c>
      <c r="F116" s="167">
        <v>4</v>
      </c>
      <c r="G116" s="122">
        <v>4</v>
      </c>
      <c r="H116" s="164">
        <v>4</v>
      </c>
    </row>
    <row r="117" spans="1:9">
      <c r="A117" s="88" t="s">
        <v>220</v>
      </c>
      <c r="B117" s="46" t="s">
        <v>120</v>
      </c>
      <c r="C117" s="90"/>
      <c r="D117" s="168">
        <v>2</v>
      </c>
      <c r="E117" s="167">
        <v>2</v>
      </c>
      <c r="F117" s="167">
        <v>2</v>
      </c>
      <c r="G117" s="167">
        <v>2</v>
      </c>
      <c r="H117" s="169">
        <v>2</v>
      </c>
    </row>
    <row r="118" spans="1:9">
      <c r="A118" s="88" t="s">
        <v>221</v>
      </c>
      <c r="B118" s="46" t="s">
        <v>120</v>
      </c>
      <c r="C118" s="90"/>
      <c r="D118" s="102">
        <f>D89+D115+D114+D113+D116+D117</f>
        <v>943</v>
      </c>
      <c r="E118" s="165">
        <f>E89+E115+E114+E113+E116+E117</f>
        <v>1121</v>
      </c>
      <c r="G118" s="165">
        <f>G89+G115+G114+G113+G116+G117</f>
        <v>476.33333333333331</v>
      </c>
      <c r="H118" s="166">
        <f>H89+H115+H114+H113+H116+H117</f>
        <v>569</v>
      </c>
    </row>
    <row r="119" spans="1:9">
      <c r="A119" s="88" t="s">
        <v>222</v>
      </c>
      <c r="C119" s="90"/>
      <c r="D119" s="158">
        <f>D118/D89</f>
        <v>1.0477777777777777</v>
      </c>
      <c r="E119" s="159">
        <f>E118/E89</f>
        <v>1.2455555555555555</v>
      </c>
      <c r="G119" s="159">
        <f>G118/G89</f>
        <v>1.0585185185185184</v>
      </c>
      <c r="H119" s="160">
        <f>H118/H89</f>
        <v>1.2644444444444445</v>
      </c>
    </row>
    <row r="120" spans="1:9" ht="6" customHeight="1">
      <c r="A120" s="88"/>
      <c r="C120" s="90"/>
      <c r="D120" s="118"/>
      <c r="H120" s="90"/>
    </row>
    <row r="121" spans="1:9" ht="15.75" thickBot="1">
      <c r="A121" s="94" t="s">
        <v>223</v>
      </c>
      <c r="B121" s="95" t="s">
        <v>118</v>
      </c>
      <c r="C121" s="170"/>
      <c r="D121" s="171">
        <f>INT(4*D119*D108+0.5)/4</f>
        <v>63.25</v>
      </c>
      <c r="E121" s="172">
        <f>INT(4*E119*E108+0.5)/4</f>
        <v>79.5</v>
      </c>
      <c r="F121" s="116"/>
      <c r="G121" s="173">
        <f>INT(4*G119*G108+0.5)/4</f>
        <v>64.25</v>
      </c>
      <c r="H121" s="174">
        <f>INT(4*H119*H108+0.5)/4</f>
        <v>81.25</v>
      </c>
    </row>
  </sheetData>
  <pageMargins left="0.70866141732283472" right="0.70866141732283472" top="0.78740157480314965" bottom="0.78740157480314965" header="0.31496062992125984" footer="0.31496062992125984"/>
  <pageSetup paperSize="9" scale="87" fitToHeight="2" orientation="portrait" r:id="rId1"/>
  <headerFooter>
    <oddHeader>&amp;C&amp;A</oddHeader>
    <oddFooter>&amp;L&amp;D</oddFooter>
  </headerFooter>
  <legacyDrawing r:id="rId2"/>
</worksheet>
</file>

<file path=xl/worksheets/sheet7.xml><?xml version="1.0" encoding="utf-8"?>
<worksheet xmlns="http://schemas.openxmlformats.org/spreadsheetml/2006/main" xmlns:r="http://schemas.openxmlformats.org/officeDocument/2006/relationships">
  <dimension ref="A3:G8"/>
  <sheetViews>
    <sheetView workbookViewId="0">
      <selection activeCell="C7" sqref="C7"/>
    </sheetView>
  </sheetViews>
  <sheetFormatPr baseColWidth="10" defaultRowHeight="15"/>
  <cols>
    <col min="1" max="1" width="36" bestFit="1" customWidth="1"/>
    <col min="2" max="2" width="11" bestFit="1" customWidth="1"/>
    <col min="3" max="3" width="11.140625" customWidth="1"/>
    <col min="4" max="4" width="15.7109375" bestFit="1" customWidth="1"/>
    <col min="5" max="5" width="11" bestFit="1" customWidth="1"/>
    <col min="6" max="6" width="12.85546875" bestFit="1" customWidth="1"/>
    <col min="7" max="7" width="11.85546875" bestFit="1" customWidth="1"/>
  </cols>
  <sheetData>
    <row r="3" spans="1:7">
      <c r="B3" t="s">
        <v>247</v>
      </c>
      <c r="C3" t="s">
        <v>249</v>
      </c>
      <c r="D3" t="s">
        <v>248</v>
      </c>
      <c r="E3" t="s">
        <v>247</v>
      </c>
      <c r="G3" t="s">
        <v>59</v>
      </c>
    </row>
    <row r="4" spans="1:7">
      <c r="A4" t="s">
        <v>244</v>
      </c>
      <c r="B4" s="1">
        <v>6000</v>
      </c>
      <c r="C4" t="s">
        <v>250</v>
      </c>
      <c r="D4" s="1">
        <v>120</v>
      </c>
      <c r="E4" s="1">
        <v>7500</v>
      </c>
      <c r="F4" s="1"/>
      <c r="G4" s="1">
        <v>140</v>
      </c>
    </row>
    <row r="5" spans="1:7">
      <c r="A5" t="s">
        <v>245</v>
      </c>
      <c r="B5" s="1">
        <f>TVöD!D5</f>
        <v>3981.95</v>
      </c>
      <c r="C5" t="s">
        <v>252</v>
      </c>
      <c r="D5" s="1">
        <v>75</v>
      </c>
      <c r="E5" s="1">
        <f>TVöD!F2</f>
        <v>6680.16</v>
      </c>
      <c r="F5" s="1" t="s">
        <v>251</v>
      </c>
      <c r="G5" s="1">
        <v>115</v>
      </c>
    </row>
    <row r="6" spans="1:7">
      <c r="A6" t="s">
        <v>246</v>
      </c>
      <c r="B6" s="1">
        <f>TVöD!B5</f>
        <v>3407.83</v>
      </c>
      <c r="C6" t="s">
        <v>253</v>
      </c>
      <c r="D6" s="1">
        <v>65</v>
      </c>
      <c r="E6" s="1">
        <f>TVöD!D3</f>
        <v>4695.13</v>
      </c>
      <c r="F6" s="1" t="s">
        <v>254</v>
      </c>
      <c r="G6" s="1">
        <v>90</v>
      </c>
    </row>
    <row r="7" spans="1:7">
      <c r="A7" t="s">
        <v>83</v>
      </c>
      <c r="B7" s="1">
        <v>1900</v>
      </c>
      <c r="D7" s="1">
        <v>40</v>
      </c>
      <c r="E7" s="1">
        <v>2400</v>
      </c>
      <c r="F7" s="1"/>
      <c r="G7" s="1">
        <v>50</v>
      </c>
    </row>
    <row r="8" spans="1:7">
      <c r="D8" s="1"/>
      <c r="E8" s="1"/>
      <c r="F8" s="1"/>
      <c r="G8"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1-Mann-Büro</vt:lpstr>
      <vt:lpstr>Stundensatzrechner</vt:lpstr>
      <vt:lpstr>AHO</vt:lpstr>
      <vt:lpstr>Stunden pro a</vt:lpstr>
      <vt:lpstr>TVöD</vt:lpstr>
      <vt:lpstr>Vergleich Angestt-Selbst.</vt:lpstr>
      <vt:lpstr>Empfehlung</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Bücherl</dc:creator>
  <cp:lastModifiedBy>Bücherl</cp:lastModifiedBy>
  <cp:lastPrinted>2014-11-27T13:51:03Z</cp:lastPrinted>
  <dcterms:created xsi:type="dcterms:W3CDTF">2014-11-27T10:40:39Z</dcterms:created>
  <dcterms:modified xsi:type="dcterms:W3CDTF">2014-11-27T14:36:37Z</dcterms:modified>
</cp:coreProperties>
</file>